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bookViews>
  <sheets>
    <sheet name="概算汇总表 (总)" sheetId="9" r:id="rId1"/>
    <sheet name="概算汇总表（详细）" sheetId="1" state="hidden" r:id="rId2"/>
    <sheet name="分表1" sheetId="7" state="hidden" r:id="rId3"/>
    <sheet name="分表2" sheetId="10" state="hidden" r:id="rId4"/>
    <sheet name="分表3" sheetId="11" state="hidden" r:id="rId5"/>
    <sheet name="概算可研对比表" sheetId="12" state="hidden" r:id="rId6"/>
    <sheet name="Sheet3" sheetId="3" state="hidden" r:id="rId7"/>
  </sheets>
  <definedNames>
    <definedName name="_xlnm.Print_Area" localSheetId="2">分表1!$A$1:$I$13</definedName>
    <definedName name="_xlnm.Print_Area" localSheetId="3">分表2!$A$1:$I$34</definedName>
    <definedName name="_xlnm.Print_Area" localSheetId="4">分表3!$A$1:$I$11</definedName>
    <definedName name="_xlnm.Print_Area" localSheetId="1">'概算汇总表（详细）'!$A$1:$I$79</definedName>
    <definedName name="_xlnm.Print_Area" localSheetId="5">概算可研对比表!$A$1:$J$85</definedName>
    <definedName name="_xlnm.Print_Titles" localSheetId="0">'概算汇总表 (总)'!$2:$2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<sst xmlns="http://schemas.openxmlformats.org/spreadsheetml/2006/main" count="476" uniqueCount="145">
  <si>
    <t>附件：江苏护理职业学院江苏智慧医养结合产学研创训一体化基地项目初步设计概算</t>
  </si>
  <si>
    <t>序号</t>
  </si>
  <si>
    <t>工程或费用名称</t>
  </si>
  <si>
    <t>概算投资（万元）</t>
  </si>
  <si>
    <t>备注</t>
  </si>
  <si>
    <r>
      <rPr>
        <b/>
        <sz val="12"/>
        <color theme="1"/>
        <rFont val="仿宋"/>
        <charset val="134"/>
      </rPr>
      <t>一</t>
    </r>
  </si>
  <si>
    <t>工程费用</t>
  </si>
  <si>
    <t>地下工程</t>
  </si>
  <si>
    <t>建筑工程</t>
  </si>
  <si>
    <t>安装工程</t>
  </si>
  <si>
    <t>主楼</t>
  </si>
  <si>
    <t>试验台</t>
  </si>
  <si>
    <t>辅楼</t>
  </si>
  <si>
    <t>室内装修工程</t>
  </si>
  <si>
    <t>地下室</t>
  </si>
  <si>
    <t>外立面装修工程</t>
  </si>
  <si>
    <t>变配电工程</t>
  </si>
  <si>
    <t>智能化工程</t>
  </si>
  <si>
    <t>室外及其他配套工程</t>
  </si>
  <si>
    <r>
      <rPr>
        <b/>
        <sz val="12"/>
        <color theme="1"/>
        <rFont val="仿宋"/>
        <charset val="134"/>
      </rPr>
      <t>二</t>
    </r>
  </si>
  <si>
    <t>工程建设其他费用</t>
  </si>
  <si>
    <t>项目建设管理费</t>
  </si>
  <si>
    <t>工程建设监理费</t>
  </si>
  <si>
    <t>前期工作咨询费</t>
  </si>
  <si>
    <t>工程勘察设计费</t>
  </si>
  <si>
    <t>场地准备及临时设施费</t>
  </si>
  <si>
    <t>工程招标服务费</t>
  </si>
  <si>
    <t>工程造价咨询服务费</t>
  </si>
  <si>
    <t>工程保险费</t>
  </si>
  <si>
    <t>城市基础设施配套费</t>
  </si>
  <si>
    <t>施工图审查费（含深基坑审查）</t>
  </si>
  <si>
    <t>检验监测费</t>
  </si>
  <si>
    <t>档案整理编审费</t>
  </si>
  <si>
    <t>房屋产权测绘费</t>
  </si>
  <si>
    <t>高可靠性供电费</t>
  </si>
  <si>
    <t>水土保持费</t>
  </si>
  <si>
    <t>竣工验收相关检测费</t>
  </si>
  <si>
    <t>环境保护税</t>
  </si>
  <si>
    <t>防雷检测费</t>
  </si>
  <si>
    <t>建设工程交易服务费</t>
  </si>
  <si>
    <t>三</t>
  </si>
  <si>
    <t>预备费（2%）</t>
  </si>
  <si>
    <t>四</t>
  </si>
  <si>
    <t>总投资</t>
  </si>
  <si>
    <t>概算汇总详表</t>
  </si>
  <si>
    <t>概算金额（万元）</t>
  </si>
  <si>
    <t>技术经济指标</t>
  </si>
  <si>
    <t>建筑、安装工程费</t>
  </si>
  <si>
    <t>设备购置费</t>
  </si>
  <si>
    <t>其他费</t>
  </si>
  <si>
    <t>合计</t>
  </si>
  <si>
    <t>规模</t>
  </si>
  <si>
    <t>单位</t>
  </si>
  <si>
    <t>指标值（元/单位）</t>
  </si>
  <si>
    <t>一</t>
  </si>
  <si>
    <r>
      <rPr>
        <b/>
        <sz val="12"/>
        <rFont val="仿宋"/>
        <charset val="134"/>
      </rPr>
      <t>m</t>
    </r>
    <r>
      <rPr>
        <b/>
        <vertAlign val="superscript"/>
        <sz val="12"/>
        <rFont val="仿宋"/>
        <charset val="134"/>
      </rPr>
      <t>2</t>
    </r>
  </si>
  <si>
    <r>
      <rPr>
        <b/>
        <sz val="12"/>
        <color theme="1"/>
        <rFont val="仿宋"/>
        <charset val="134"/>
      </rPr>
      <t>m</t>
    </r>
    <r>
      <rPr>
        <b/>
        <vertAlign val="superscript"/>
        <sz val="12"/>
        <color theme="1"/>
        <rFont val="仿宋"/>
        <charset val="134"/>
      </rPr>
      <t>2</t>
    </r>
  </si>
  <si>
    <t>1.1.1</t>
  </si>
  <si>
    <t>基坑支护工程</t>
  </si>
  <si>
    <r>
      <rPr>
        <sz val="12"/>
        <color theme="1"/>
        <rFont val="仿宋"/>
        <charset val="134"/>
      </rPr>
      <t>m</t>
    </r>
    <r>
      <rPr>
        <vertAlign val="superscript"/>
        <sz val="12"/>
        <color theme="1"/>
        <rFont val="仿宋"/>
        <charset val="134"/>
      </rPr>
      <t>2</t>
    </r>
  </si>
  <si>
    <t>1.1.2</t>
  </si>
  <si>
    <t>土石方工程</t>
  </si>
  <si>
    <r>
      <rPr>
        <sz val="12"/>
        <color theme="1"/>
        <rFont val="仿宋"/>
        <charset val="134"/>
      </rPr>
      <t>m</t>
    </r>
    <r>
      <rPr>
        <vertAlign val="superscript"/>
        <sz val="12"/>
        <color theme="1"/>
        <rFont val="仿宋"/>
        <charset val="134"/>
      </rPr>
      <t>3</t>
    </r>
  </si>
  <si>
    <t>1.1.3</t>
  </si>
  <si>
    <t>桩基工程</t>
  </si>
  <si>
    <t>1.1.4</t>
  </si>
  <si>
    <t>1.2.1</t>
  </si>
  <si>
    <t>给排水工程</t>
  </si>
  <si>
    <t>1.2.2</t>
  </si>
  <si>
    <t>消防工程</t>
  </si>
  <si>
    <t>1.2.3</t>
  </si>
  <si>
    <t>通风排烟</t>
  </si>
  <si>
    <t>1.2.4</t>
  </si>
  <si>
    <t>强电工程</t>
  </si>
  <si>
    <t>2.2.1</t>
  </si>
  <si>
    <t>2.2.2</t>
  </si>
  <si>
    <t>2.2.3</t>
  </si>
  <si>
    <t>通风空调工程</t>
  </si>
  <si>
    <t>2.2.4</t>
  </si>
  <si>
    <t>2.2.5</t>
  </si>
  <si>
    <t>电梯</t>
  </si>
  <si>
    <t>项</t>
  </si>
  <si>
    <t>3.2.1</t>
  </si>
  <si>
    <t>3.2.2</t>
  </si>
  <si>
    <t>3.2.3</t>
  </si>
  <si>
    <t>3.2.4</t>
  </si>
  <si>
    <t>3.2.5</t>
  </si>
  <si>
    <t>KVA</t>
  </si>
  <si>
    <t>室外智能化</t>
  </si>
  <si>
    <t>硬质铺装</t>
  </si>
  <si>
    <t>绿化工程</t>
  </si>
  <si>
    <t>室外给排水</t>
  </si>
  <si>
    <t>室外电气</t>
  </si>
  <si>
    <t>室外景观水电</t>
  </si>
  <si>
    <t>标识工程</t>
  </si>
  <si>
    <t>充电桩</t>
  </si>
  <si>
    <t>个</t>
  </si>
  <si>
    <t>二</t>
  </si>
  <si>
    <t>财建[2016]504号文</t>
  </si>
  <si>
    <t>发改价格[2007]670号文</t>
  </si>
  <si>
    <t>前期工作咨询费（含项建、可研、绿建咨询、环境影响咨询、稳评）</t>
  </si>
  <si>
    <t>计价格[1999]1283号</t>
  </si>
  <si>
    <t>工程勘察设计费（含方案）</t>
  </si>
  <si>
    <t>合同价</t>
  </si>
  <si>
    <t>工程费用的0.3%</t>
  </si>
  <si>
    <t>计价格[2002]1980号</t>
  </si>
  <si>
    <t>工程费用的0.1%</t>
  </si>
  <si>
    <t>收费标准为105元/平方米，按收费标准的50%计列</t>
  </si>
  <si>
    <t>建筑工程1.2元/平方米，深基坑按文件执行</t>
  </si>
  <si>
    <t>工程费用的1%</t>
  </si>
  <si>
    <t>1.2元/平方米</t>
  </si>
  <si>
    <t>1元/平方米</t>
  </si>
  <si>
    <t>苏价工[2000]242号</t>
  </si>
  <si>
    <t>暂估</t>
  </si>
  <si>
    <t>苏发改收费发[2023]851号</t>
  </si>
  <si>
    <t>预备费</t>
  </si>
  <si>
    <t>基本预备费</t>
  </si>
  <si>
    <t>建设投资合计</t>
  </si>
  <si>
    <t>单项工程综合概算表—地下工程</t>
  </si>
  <si>
    <t>指标值
（元/单位）</t>
  </si>
  <si>
    <r>
      <rPr>
        <b/>
        <sz val="12"/>
        <rFont val="仿宋"/>
        <charset val="134"/>
      </rPr>
      <t>m</t>
    </r>
    <r>
      <rPr>
        <b/>
        <vertAlign val="superscript"/>
        <sz val="12"/>
        <rFont val="仿宋"/>
        <charset val="134"/>
      </rPr>
      <t>3</t>
    </r>
  </si>
  <si>
    <t>1.5.1</t>
  </si>
  <si>
    <t>1.5.2</t>
  </si>
  <si>
    <t>消防水</t>
  </si>
  <si>
    <t>1.5.3</t>
  </si>
  <si>
    <t>1.5.4</t>
  </si>
  <si>
    <t>单项工程综合概算表—地上工程</t>
  </si>
  <si>
    <t>地上工程</t>
  </si>
  <si>
    <t>通风工程</t>
  </si>
  <si>
    <t>单项工程综合概算表—室外工程</t>
  </si>
  <si>
    <t>概算可研对比表</t>
  </si>
  <si>
    <t>工程项目及费用名称</t>
  </si>
  <si>
    <t>概算</t>
  </si>
  <si>
    <t>可研</t>
  </si>
  <si>
    <t>概算较可研
增加金额
（万元）</t>
  </si>
  <si>
    <t>增加
比例</t>
  </si>
  <si>
    <t>建筑面积</t>
  </si>
  <si>
    <t>费用合计</t>
  </si>
  <si>
    <t>经济指标
（元/单位）</t>
  </si>
  <si>
    <t>土方及基地处理</t>
  </si>
  <si>
    <t>土方清理</t>
  </si>
  <si>
    <t>亮化</t>
  </si>
  <si>
    <t>概念性方案设计（含补偿）</t>
  </si>
  <si>
    <t>方案设计（含补偿）</t>
  </si>
  <si>
    <t>初步设计及施工图设计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</si>
</sst>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
    <numFmt numFmtId="178" formatCode="0.000_ "/>
    <numFmt numFmtId="179" formatCode="0.0000000000000_ "/>
    <numFmt numFmtId="180" formatCode="0.00_);[Red]\(0.00\)"/>
    <numFmt numFmtId="181" formatCode="0_ "/>
  </numFmts>
  <fonts count="36">
    <font>
      <sz val="11"/>
      <color theme="1"/>
      <name val="宋体"/>
      <charset val="134"/>
      <scheme val="minor"/>
    </font>
    <font>
      <b/>
      <sz val="16"/>
      <name val="仿宋"/>
      <charset val="134"/>
    </font>
    <font>
      <sz val="12"/>
      <name val="仿宋"/>
      <charset val="134"/>
    </font>
    <font>
      <b/>
      <sz val="12"/>
      <color theme="1"/>
      <name val="仿宋"/>
      <charset val="134"/>
    </font>
    <font>
      <sz val="12"/>
      <color theme="1"/>
      <name val="仿宋"/>
      <charset val="134"/>
    </font>
    <font>
      <sz val="11"/>
      <color theme="1"/>
      <name val="宋体"/>
      <charset val="134"/>
      <scheme val="minor"/>
    </font>
    <font>
      <b/>
      <sz val="12"/>
      <name val="仿宋"/>
      <charset val="134"/>
    </font>
    <font>
      <sz val="16"/>
      <name val="仿宋"/>
      <charset val="134"/>
    </font>
    <font>
      <sz val="14"/>
      <name val="方正小标宋_GBK"/>
      <charset val="134"/>
    </font>
    <font>
      <sz val="12"/>
      <name val="黑体"/>
      <charset val="134"/>
    </font>
    <font>
      <b/>
      <sz val="12"/>
      <color theme="1"/>
      <name val="Times New Roman"/>
      <charset val="134"/>
    </font>
    <font>
      <sz val="12"/>
      <color theme="1"/>
      <name val="Times New Roman"/>
      <charset val="134"/>
    </font>
    <font>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vertAlign val="superscript"/>
      <sz val="12"/>
      <color theme="1"/>
      <name val="仿宋"/>
      <charset val="134"/>
    </font>
    <font>
      <b/>
      <vertAlign val="superscript"/>
      <sz val="12"/>
      <color theme="1"/>
      <name val="仿宋"/>
      <charset val="134"/>
    </font>
    <font>
      <b/>
      <vertAlign val="superscript"/>
      <sz val="12"/>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4" borderId="8" applyNumberFormat="0" applyAlignment="0" applyProtection="0">
      <alignment vertical="center"/>
    </xf>
    <xf numFmtId="0" fontId="22" fillId="5" borderId="9" applyNumberFormat="0" applyAlignment="0" applyProtection="0">
      <alignment vertical="center"/>
    </xf>
    <xf numFmtId="0" fontId="23" fillId="5" borderId="8" applyNumberFormat="0" applyAlignment="0" applyProtection="0">
      <alignment vertical="center"/>
    </xf>
    <xf numFmtId="0" fontId="24" fillId="6" borderId="10" applyNumberFormat="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2" fillId="0" borderId="0"/>
    <xf numFmtId="2" fontId="32" fillId="0" borderId="0"/>
  </cellStyleXfs>
  <cellXfs count="74">
    <xf numFmtId="0" fontId="0" fillId="0" borderId="0" xfId="0">
      <alignment vertical="center"/>
    </xf>
    <xf numFmtId="2" fontId="1" fillId="0" borderId="0" xfId="50" applyFont="1" applyAlignment="1">
      <alignment horizontal="center" vertical="center"/>
    </xf>
    <xf numFmtId="1" fontId="2" fillId="0" borderId="1" xfId="50" applyNumberFormat="1" applyFont="1" applyBorder="1" applyAlignment="1">
      <alignment horizontal="center" vertical="center"/>
    </xf>
    <xf numFmtId="0" fontId="2" fillId="0" borderId="1" xfId="49" applyFont="1" applyBorder="1" applyAlignment="1">
      <alignment horizontal="center" vertical="center"/>
    </xf>
    <xf numFmtId="176" fontId="2" fillId="0" borderId="1" xfId="50" applyNumberFormat="1" applyFont="1" applyBorder="1" applyAlignment="1">
      <alignment horizontal="center" vertical="center"/>
    </xf>
    <xf numFmtId="176" fontId="2" fillId="0" borderId="1" xfId="50" applyNumberFormat="1" applyFont="1" applyBorder="1" applyAlignment="1">
      <alignment horizontal="center" vertical="center" wrapText="1"/>
    </xf>
    <xf numFmtId="1" fontId="2" fillId="0" borderId="1" xfId="50" applyNumberFormat="1" applyFont="1" applyBorder="1" applyAlignment="1">
      <alignment horizontal="center" vertical="center" wrapText="1"/>
    </xf>
    <xf numFmtId="1" fontId="3" fillId="0" borderId="1" xfId="50" applyNumberFormat="1" applyFont="1" applyBorder="1" applyAlignment="1">
      <alignment horizontal="center" vertical="center"/>
    </xf>
    <xf numFmtId="0" fontId="3" fillId="0" borderId="1" xfId="49" applyFont="1" applyBorder="1" applyAlignment="1">
      <alignment horizontal="left" vertical="center"/>
    </xf>
    <xf numFmtId="176" fontId="3" fillId="0" borderId="1" xfId="50" applyNumberFormat="1" applyFont="1" applyBorder="1" applyAlignment="1">
      <alignment horizontal="center" vertical="center"/>
    </xf>
    <xf numFmtId="2" fontId="3" fillId="0" borderId="1" xfId="50" applyFont="1" applyBorder="1" applyAlignment="1">
      <alignment horizontal="center" vertical="center"/>
    </xf>
    <xf numFmtId="0" fontId="3" fillId="0" borderId="1" xfId="50" applyNumberFormat="1" applyFont="1" applyBorder="1" applyAlignment="1">
      <alignment horizontal="center" vertical="center"/>
    </xf>
    <xf numFmtId="0" fontId="4" fillId="0" borderId="1" xfId="50" applyNumberFormat="1" applyFont="1" applyBorder="1" applyAlignment="1">
      <alignment horizontal="center" vertical="center"/>
    </xf>
    <xf numFmtId="0" fontId="4" fillId="0" borderId="1" xfId="49" applyFont="1" applyBorder="1" applyAlignment="1">
      <alignment horizontal="left" vertical="center"/>
    </xf>
    <xf numFmtId="176" fontId="4" fillId="0" borderId="1" xfId="50" applyNumberFormat="1" applyFont="1" applyBorder="1" applyAlignment="1">
      <alignment horizontal="center" vertical="center"/>
    </xf>
    <xf numFmtId="2" fontId="4" fillId="0" borderId="1" xfId="50" applyFont="1" applyBorder="1" applyAlignment="1">
      <alignment horizontal="center" vertical="center"/>
    </xf>
    <xf numFmtId="0" fontId="4" fillId="0" borderId="1" xfId="0" applyFont="1" applyBorder="1">
      <alignment vertical="center"/>
    </xf>
    <xf numFmtId="176" fontId="4" fillId="2" borderId="1" xfId="49" applyNumberFormat="1" applyFont="1" applyFill="1" applyBorder="1" applyAlignment="1">
      <alignment horizontal="left" vertical="center" wrapText="1"/>
    </xf>
    <xf numFmtId="177" fontId="4" fillId="0" borderId="1" xfId="50" applyNumberFormat="1" applyFont="1" applyBorder="1" applyAlignment="1">
      <alignment horizontal="center" vertical="center"/>
    </xf>
    <xf numFmtId="176" fontId="3" fillId="2" borderId="1" xfId="49" applyNumberFormat="1" applyFont="1" applyFill="1" applyBorder="1" applyAlignment="1">
      <alignment horizontal="left" vertical="center" wrapText="1"/>
    </xf>
    <xf numFmtId="1" fontId="4" fillId="0" borderId="1" xfId="50" applyNumberFormat="1" applyFont="1" applyBorder="1" applyAlignment="1">
      <alignment horizontal="center" vertical="center"/>
    </xf>
    <xf numFmtId="0" fontId="4" fillId="0" borderId="1" xfId="0" applyFont="1" applyBorder="1" applyAlignment="1">
      <alignment vertical="center" wrapText="1"/>
    </xf>
    <xf numFmtId="176" fontId="4" fillId="0" borderId="1" xfId="50" applyNumberFormat="1" applyFont="1" applyBorder="1" applyAlignment="1">
      <alignment vertical="center"/>
    </xf>
    <xf numFmtId="0" fontId="5" fillId="0" borderId="1" xfId="0" applyFont="1" applyBorder="1">
      <alignment vertical="center"/>
    </xf>
    <xf numFmtId="10" fontId="6" fillId="0" borderId="1" xfId="50" applyNumberFormat="1" applyFont="1" applyBorder="1" applyAlignment="1">
      <alignment horizontal="center" vertical="center"/>
    </xf>
    <xf numFmtId="176" fontId="0" fillId="0" borderId="0" xfId="0" applyNumberFormat="1">
      <alignment vertical="center"/>
    </xf>
    <xf numFmtId="10" fontId="3" fillId="0" borderId="1" xfId="50" applyNumberFormat="1" applyFont="1" applyBorder="1" applyAlignment="1">
      <alignment horizontal="center" vertical="center"/>
    </xf>
    <xf numFmtId="10" fontId="4" fillId="0" borderId="1" xfId="50" applyNumberFormat="1" applyFont="1" applyBorder="1" applyAlignment="1">
      <alignment horizontal="center" vertical="center"/>
    </xf>
    <xf numFmtId="10" fontId="0" fillId="0" borderId="0" xfId="0" applyNumberFormat="1">
      <alignment vertical="center"/>
    </xf>
    <xf numFmtId="178" fontId="0" fillId="0" borderId="0" xfId="0" applyNumberFormat="1">
      <alignment vertical="center"/>
    </xf>
    <xf numFmtId="179" fontId="0" fillId="0" borderId="0" xfId="0" applyNumberFormat="1">
      <alignment vertical="center"/>
    </xf>
    <xf numFmtId="176" fontId="3" fillId="0" borderId="1" xfId="50" applyNumberFormat="1" applyFont="1" applyBorder="1" applyAlignment="1">
      <alignment vertical="center"/>
    </xf>
    <xf numFmtId="0" fontId="5" fillId="0" borderId="0" xfId="0" applyFont="1">
      <alignment vertical="center"/>
    </xf>
    <xf numFmtId="10" fontId="5" fillId="0" borderId="1" xfId="0" applyNumberFormat="1" applyFont="1" applyBorder="1">
      <alignment vertical="center"/>
    </xf>
    <xf numFmtId="2" fontId="7" fillId="0" borderId="1" xfId="50" applyFont="1" applyBorder="1" applyAlignment="1">
      <alignment horizontal="center" vertical="center"/>
    </xf>
    <xf numFmtId="0" fontId="6" fillId="0" borderId="1" xfId="50" applyNumberFormat="1" applyFont="1" applyBorder="1" applyAlignment="1">
      <alignment horizontal="center" vertical="center"/>
    </xf>
    <xf numFmtId="0" fontId="6" fillId="0" borderId="1" xfId="49" applyFont="1" applyBorder="1" applyAlignment="1">
      <alignment horizontal="left" vertical="center"/>
    </xf>
    <xf numFmtId="180" fontId="6" fillId="0" borderId="1" xfId="49" applyNumberFormat="1" applyFont="1" applyBorder="1" applyAlignment="1">
      <alignment horizontal="center" vertical="center"/>
    </xf>
    <xf numFmtId="180" fontId="6" fillId="0" borderId="1" xfId="49" applyNumberFormat="1" applyFont="1" applyBorder="1" applyAlignment="1">
      <alignment horizontal="left" vertical="center"/>
    </xf>
    <xf numFmtId="180" fontId="6" fillId="0" borderId="1" xfId="50" applyNumberFormat="1" applyFont="1" applyBorder="1" applyAlignment="1">
      <alignment horizontal="center" vertical="center"/>
    </xf>
    <xf numFmtId="1" fontId="6" fillId="0" borderId="1" xfId="50" applyNumberFormat="1" applyFont="1" applyBorder="1" applyAlignment="1">
      <alignment horizontal="center" vertical="center"/>
    </xf>
    <xf numFmtId="181" fontId="4" fillId="0" borderId="1" xfId="50" applyNumberFormat="1" applyFont="1" applyBorder="1" applyAlignment="1">
      <alignment horizontal="center" vertical="center"/>
    </xf>
    <xf numFmtId="176" fontId="6" fillId="0" borderId="1" xfId="50" applyNumberFormat="1" applyFont="1" applyBorder="1" applyAlignment="1">
      <alignment horizontal="center" vertical="center"/>
    </xf>
    <xf numFmtId="0" fontId="2" fillId="0" borderId="1" xfId="50" applyNumberFormat="1" applyFont="1" applyBorder="1" applyAlignment="1">
      <alignment horizontal="center" vertical="center"/>
    </xf>
    <xf numFmtId="0" fontId="2" fillId="0" borderId="1" xfId="49" applyFont="1" applyBorder="1" applyAlignment="1">
      <alignment horizontal="left" vertical="center"/>
    </xf>
    <xf numFmtId="180" fontId="2" fillId="0" borderId="1" xfId="49" applyNumberFormat="1" applyFont="1" applyBorder="1" applyAlignment="1">
      <alignment horizontal="left" vertical="center"/>
    </xf>
    <xf numFmtId="180" fontId="2" fillId="0" borderId="1" xfId="50" applyNumberFormat="1" applyFont="1" applyBorder="1" applyAlignment="1">
      <alignment horizontal="center" vertical="center"/>
    </xf>
    <xf numFmtId="180" fontId="0" fillId="0" borderId="0" xfId="0" applyNumberFormat="1">
      <alignment vertical="center"/>
    </xf>
    <xf numFmtId="176" fontId="4" fillId="0" borderId="1" xfId="49" applyNumberFormat="1" applyFont="1" applyBorder="1" applyAlignment="1">
      <alignment horizontal="left" vertical="center" wrapText="1"/>
    </xf>
    <xf numFmtId="176" fontId="4" fillId="0" borderId="2" xfId="50" applyNumberFormat="1" applyFont="1" applyBorder="1" applyAlignment="1">
      <alignment horizontal="center" vertical="center"/>
    </xf>
    <xf numFmtId="176" fontId="4" fillId="0" borderId="3" xfId="50" applyNumberFormat="1" applyFont="1" applyBorder="1" applyAlignment="1">
      <alignment horizontal="center" vertical="center"/>
    </xf>
    <xf numFmtId="176" fontId="4" fillId="0" borderId="2" xfId="50" applyNumberFormat="1" applyFont="1" applyBorder="1" applyAlignment="1">
      <alignment horizontal="center" vertical="center" wrapText="1"/>
    </xf>
    <xf numFmtId="176" fontId="4" fillId="0" borderId="4" xfId="50" applyNumberFormat="1" applyFont="1" applyBorder="1" applyAlignment="1">
      <alignment horizontal="center" vertical="center"/>
    </xf>
    <xf numFmtId="10" fontId="4" fillId="0" borderId="2" xfId="50" applyNumberFormat="1" applyFont="1" applyBorder="1" applyAlignment="1">
      <alignment horizontal="center" vertical="center"/>
    </xf>
    <xf numFmtId="10" fontId="4" fillId="0" borderId="3" xfId="50" applyNumberFormat="1" applyFont="1" applyBorder="1" applyAlignment="1">
      <alignment horizontal="center" vertical="center"/>
    </xf>
    <xf numFmtId="10" fontId="4" fillId="0" borderId="4" xfId="50" applyNumberFormat="1" applyFont="1" applyBorder="1" applyAlignment="1">
      <alignment horizontal="center" vertical="center"/>
    </xf>
    <xf numFmtId="0" fontId="0" fillId="0" borderId="0" xfId="0" applyBorder="1">
      <alignment vertical="center"/>
    </xf>
    <xf numFmtId="2" fontId="8" fillId="0" borderId="0" xfId="50" applyFont="1" applyBorder="1" applyAlignment="1">
      <alignment horizontal="center" vertical="center"/>
    </xf>
    <xf numFmtId="1" fontId="9" fillId="0" borderId="1" xfId="50" applyNumberFormat="1" applyFont="1" applyBorder="1" applyAlignment="1">
      <alignment horizontal="center" vertical="center"/>
    </xf>
    <xf numFmtId="0" fontId="9" fillId="0" borderId="1" xfId="49" applyFont="1" applyBorder="1" applyAlignment="1">
      <alignment horizontal="center" vertical="center"/>
    </xf>
    <xf numFmtId="176" fontId="9" fillId="0" borderId="1" xfId="50" applyNumberFormat="1" applyFont="1" applyBorder="1" applyAlignment="1">
      <alignment horizontal="center" vertical="center"/>
    </xf>
    <xf numFmtId="1" fontId="10" fillId="0" borderId="1" xfId="50" applyNumberFormat="1" applyFont="1" applyBorder="1" applyAlignment="1">
      <alignment horizontal="center" vertical="center"/>
    </xf>
    <xf numFmtId="0" fontId="3" fillId="0" borderId="1" xfId="49" applyFont="1" applyBorder="1" applyAlignment="1">
      <alignment horizontal="center" vertical="center"/>
    </xf>
    <xf numFmtId="176" fontId="10" fillId="0" borderId="1" xfId="50" applyNumberFormat="1" applyFont="1" applyBorder="1" applyAlignment="1">
      <alignment horizontal="center" vertical="center"/>
    </xf>
    <xf numFmtId="0" fontId="11" fillId="0" borderId="1" xfId="50" applyNumberFormat="1" applyFont="1" applyBorder="1" applyAlignment="1">
      <alignment horizontal="center" vertical="center"/>
    </xf>
    <xf numFmtId="0" fontId="4" fillId="0" borderId="1" xfId="49" applyFont="1" applyBorder="1" applyAlignment="1">
      <alignment horizontal="center" vertical="center"/>
    </xf>
    <xf numFmtId="176" fontId="11" fillId="0" borderId="1" xfId="50" applyNumberFormat="1" applyFont="1" applyBorder="1" applyAlignment="1">
      <alignment horizontal="center" vertical="center"/>
    </xf>
    <xf numFmtId="1" fontId="11" fillId="0" borderId="1" xfId="50" applyNumberFormat="1" applyFont="1" applyBorder="1" applyAlignment="1">
      <alignment horizontal="center" vertical="center"/>
    </xf>
    <xf numFmtId="177" fontId="11" fillId="0" borderId="1" xfId="50" applyNumberFormat="1" applyFont="1" applyBorder="1" applyAlignment="1">
      <alignment horizontal="center" vertical="center"/>
    </xf>
    <xf numFmtId="176" fontId="4" fillId="2" borderId="1" xfId="49" applyNumberFormat="1" applyFont="1" applyFill="1" applyBorder="1" applyAlignment="1">
      <alignment horizontal="center" vertical="center" wrapText="1"/>
    </xf>
    <xf numFmtId="0" fontId="4" fillId="0" borderId="1" xfId="0" applyFont="1" applyBorder="1" applyAlignment="1">
      <alignment horizontal="center" vertical="center" wrapText="1"/>
    </xf>
    <xf numFmtId="176" fontId="11" fillId="0" borderId="1" xfId="50" applyNumberFormat="1"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泰州党3" xfId="49"/>
    <cellStyle name="普通_南京林业大学培训中心给排水工程"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9"/>
  <sheetViews>
    <sheetView tabSelected="1" view="pageBreakPreview" zoomScaleNormal="100" workbookViewId="0">
      <pane ySplit="2" topLeftCell="A3" activePane="bottomLeft" state="frozen"/>
      <selection/>
      <selection pane="bottomLeft" activeCell="A1" sqref="A1:D1"/>
    </sheetView>
  </sheetViews>
  <sheetFormatPr defaultColWidth="9" defaultRowHeight="14.4" outlineLevelCol="3"/>
  <cols>
    <col min="1" max="1" width="11.3333333333333" customWidth="1"/>
    <col min="2" max="2" width="43.1111111111111" customWidth="1"/>
    <col min="3" max="3" width="26.1111111111111" customWidth="1"/>
    <col min="4" max="4" width="24.3333333333333" customWidth="1"/>
  </cols>
  <sheetData>
    <row r="1" s="56" customFormat="1" ht="44" customHeight="1" spans="1:4">
      <c r="A1" s="57" t="s">
        <v>0</v>
      </c>
      <c r="B1" s="57"/>
      <c r="C1" s="57"/>
      <c r="D1" s="57"/>
    </row>
    <row r="2" ht="24" customHeight="1" spans="1:4">
      <c r="A2" s="58" t="s">
        <v>1</v>
      </c>
      <c r="B2" s="59" t="s">
        <v>2</v>
      </c>
      <c r="C2" s="60" t="s">
        <v>3</v>
      </c>
      <c r="D2" s="58" t="s">
        <v>4</v>
      </c>
    </row>
    <row r="3" ht="22.2" customHeight="1" spans="1:4">
      <c r="A3" s="61" t="s">
        <v>5</v>
      </c>
      <c r="B3" s="62" t="s">
        <v>6</v>
      </c>
      <c r="C3" s="63">
        <f>'概算汇总表（详细）'!F4</f>
        <v>20225.86</v>
      </c>
      <c r="D3" s="63"/>
    </row>
    <row r="4" ht="22.2" customHeight="1" spans="1:4">
      <c r="A4" s="64">
        <v>1</v>
      </c>
      <c r="B4" s="65" t="s">
        <v>7</v>
      </c>
      <c r="C4" s="66">
        <f>'概算汇总表（详细）'!C5</f>
        <v>4014.69</v>
      </c>
      <c r="D4" s="63"/>
    </row>
    <row r="5" ht="22.2" customHeight="1" spans="1:4">
      <c r="A5" s="64">
        <v>1.1</v>
      </c>
      <c r="B5" s="65" t="str">
        <f>'概算汇总表（详细）'!B7</f>
        <v>基坑支护工程</v>
      </c>
      <c r="C5" s="66">
        <f>'概算汇总表（详细）'!C7</f>
        <v>364.6285</v>
      </c>
      <c r="D5" s="66"/>
    </row>
    <row r="6" ht="22.2" customHeight="1" spans="1:4">
      <c r="A6" s="64">
        <v>1.2</v>
      </c>
      <c r="B6" s="65" t="str">
        <f>'概算汇总表（详细）'!B8</f>
        <v>土石方工程</v>
      </c>
      <c r="C6" s="66">
        <f>'概算汇总表（详细）'!C8</f>
        <v>281.7374</v>
      </c>
      <c r="D6" s="66"/>
    </row>
    <row r="7" ht="22.2" customHeight="1" spans="1:4">
      <c r="A7" s="64">
        <v>1.3</v>
      </c>
      <c r="B7" s="65" t="str">
        <f>'概算汇总表（详细）'!B9</f>
        <v>桩基工程</v>
      </c>
      <c r="C7" s="66">
        <f>'概算汇总表（详细）'!C9</f>
        <v>682.7741</v>
      </c>
      <c r="D7" s="66"/>
    </row>
    <row r="8" ht="22.2" customHeight="1" spans="1:4">
      <c r="A8" s="64">
        <v>1.4</v>
      </c>
      <c r="B8" s="65" t="s">
        <v>8</v>
      </c>
      <c r="C8" s="66">
        <f>'概算汇总表（详细）'!C10</f>
        <v>2079.3885</v>
      </c>
      <c r="D8" s="66"/>
    </row>
    <row r="9" ht="22.2" customHeight="1" spans="1:4">
      <c r="A9" s="64">
        <v>1.5</v>
      </c>
      <c r="B9" s="65" t="s">
        <v>9</v>
      </c>
      <c r="C9" s="66">
        <f>'概算汇总表（详细）'!F11</f>
        <v>606.16</v>
      </c>
      <c r="D9" s="66"/>
    </row>
    <row r="10" ht="22.2" customHeight="1" spans="1:4">
      <c r="A10" s="64">
        <v>2</v>
      </c>
      <c r="B10" s="65" t="s">
        <v>10</v>
      </c>
      <c r="C10" s="66">
        <f>'概算汇总表（详细）'!F16</f>
        <v>7936.98</v>
      </c>
      <c r="D10" s="63"/>
    </row>
    <row r="11" ht="22.2" customHeight="1" spans="1:4">
      <c r="A11" s="64">
        <v>2.1</v>
      </c>
      <c r="B11" s="65" t="s">
        <v>8</v>
      </c>
      <c r="C11" s="66">
        <f>'概算汇总表（详细）'!F17</f>
        <v>6244.8058</v>
      </c>
      <c r="D11" s="66"/>
    </row>
    <row r="12" ht="22.2" customHeight="1" spans="1:4">
      <c r="A12" s="64">
        <v>2.2</v>
      </c>
      <c r="B12" s="65" t="s">
        <v>9</v>
      </c>
      <c r="C12" s="66">
        <f>'概算汇总表（详细）'!F18</f>
        <v>1592.17</v>
      </c>
      <c r="D12" s="66"/>
    </row>
    <row r="13" ht="22.2" customHeight="1" spans="1:4">
      <c r="A13" s="64">
        <v>2.3</v>
      </c>
      <c r="B13" s="65" t="s">
        <v>11</v>
      </c>
      <c r="C13" s="66">
        <f>'概算汇总表（详细）'!C24</f>
        <v>100</v>
      </c>
      <c r="D13" s="66"/>
    </row>
    <row r="14" ht="22.2" customHeight="1" spans="1:4">
      <c r="A14" s="64">
        <v>3</v>
      </c>
      <c r="B14" s="65" t="s">
        <v>12</v>
      </c>
      <c r="C14" s="66">
        <f>'概算汇总表（详细）'!F25</f>
        <v>1833.33</v>
      </c>
      <c r="D14" s="63"/>
    </row>
    <row r="15" ht="22.2" customHeight="1" spans="1:4">
      <c r="A15" s="64">
        <v>3.1</v>
      </c>
      <c r="B15" s="65" t="s">
        <v>8</v>
      </c>
      <c r="C15" s="66">
        <f>'概算汇总表（详细）'!F26</f>
        <v>1212.0118</v>
      </c>
      <c r="D15" s="66"/>
    </row>
    <row r="16" ht="22.2" customHeight="1" spans="1:4">
      <c r="A16" s="64">
        <v>3.2</v>
      </c>
      <c r="B16" s="65" t="s">
        <v>9</v>
      </c>
      <c r="C16" s="66">
        <f>'概算汇总表（详细）'!F27</f>
        <v>621.32</v>
      </c>
      <c r="D16" s="66"/>
    </row>
    <row r="17" ht="22.2" customHeight="1" spans="1:4">
      <c r="A17" s="67">
        <v>4</v>
      </c>
      <c r="B17" s="65" t="s">
        <v>13</v>
      </c>
      <c r="C17" s="66">
        <f>'概算汇总表（详细）'!F33</f>
        <v>1970.1</v>
      </c>
      <c r="D17" s="63"/>
    </row>
    <row r="18" ht="22.2" customHeight="1" spans="1:4">
      <c r="A18" s="68">
        <v>4.1</v>
      </c>
      <c r="B18" s="65" t="s">
        <v>14</v>
      </c>
      <c r="C18" s="66">
        <f>'概算汇总表（详细）'!F34</f>
        <v>185.4377</v>
      </c>
      <c r="D18" s="66"/>
    </row>
    <row r="19" ht="22.2" customHeight="1" spans="1:4">
      <c r="A19" s="68">
        <v>4.2</v>
      </c>
      <c r="B19" s="65" t="s">
        <v>10</v>
      </c>
      <c r="C19" s="66">
        <f>'概算汇总表（详细）'!F35</f>
        <v>1438.7445</v>
      </c>
      <c r="D19" s="66"/>
    </row>
    <row r="20" ht="22.2" customHeight="1" spans="1:4">
      <c r="A20" s="68">
        <v>4.3</v>
      </c>
      <c r="B20" s="65" t="s">
        <v>12</v>
      </c>
      <c r="C20" s="66">
        <f>'概算汇总表（详细）'!F36</f>
        <v>345.9202</v>
      </c>
      <c r="D20" s="66"/>
    </row>
    <row r="21" ht="22.2" customHeight="1" spans="1:4">
      <c r="A21" s="64">
        <v>5</v>
      </c>
      <c r="B21" s="69" t="s">
        <v>15</v>
      </c>
      <c r="C21" s="66">
        <f>'概算汇总表（详细）'!F37</f>
        <v>1504.72</v>
      </c>
      <c r="D21" s="63"/>
    </row>
    <row r="22" ht="22.2" customHeight="1" spans="1:4">
      <c r="A22" s="64">
        <v>5.1</v>
      </c>
      <c r="B22" s="65" t="s">
        <v>10</v>
      </c>
      <c r="C22" s="66">
        <f>'概算汇总表（详细）'!F38</f>
        <v>1330.9564</v>
      </c>
      <c r="D22" s="66"/>
    </row>
    <row r="23" ht="22.2" customHeight="1" spans="1:4">
      <c r="A23" s="64">
        <v>5.2</v>
      </c>
      <c r="B23" s="65" t="s">
        <v>12</v>
      </c>
      <c r="C23" s="66">
        <f>'概算汇总表（详细）'!F39</f>
        <v>173.76</v>
      </c>
      <c r="D23" s="66"/>
    </row>
    <row r="24" ht="22.2" customHeight="1" spans="1:4">
      <c r="A24" s="64">
        <v>6</v>
      </c>
      <c r="B24" s="65" t="s">
        <v>16</v>
      </c>
      <c r="C24" s="66">
        <f>'概算汇总表（详细）'!C40</f>
        <v>372.4483</v>
      </c>
      <c r="D24" s="63"/>
    </row>
    <row r="25" ht="22.2" customHeight="1" spans="1:4">
      <c r="A25" s="64">
        <v>7</v>
      </c>
      <c r="B25" s="65" t="s">
        <v>17</v>
      </c>
      <c r="C25" s="66">
        <f>'概算汇总表（详细）'!C41</f>
        <v>893.46</v>
      </c>
      <c r="D25" s="63"/>
    </row>
    <row r="26" ht="22.2" customHeight="1" spans="1:4">
      <c r="A26" s="67">
        <v>8</v>
      </c>
      <c r="B26" s="65" t="s">
        <v>18</v>
      </c>
      <c r="C26" s="66">
        <f>'概算汇总表（详细）'!F46</f>
        <v>1700.13</v>
      </c>
      <c r="D26" s="63"/>
    </row>
    <row r="27" ht="22.2" customHeight="1" spans="1:4">
      <c r="A27" s="61" t="s">
        <v>19</v>
      </c>
      <c r="B27" s="62" t="s">
        <v>20</v>
      </c>
      <c r="C27" s="63">
        <f>'概算汇总表（详细）'!F55</f>
        <v>1734.54</v>
      </c>
      <c r="D27" s="66"/>
    </row>
    <row r="28" ht="22.2" customHeight="1" spans="1:4">
      <c r="A28" s="67">
        <v>1</v>
      </c>
      <c r="B28" s="70" t="s">
        <v>21</v>
      </c>
      <c r="C28" s="66">
        <f>'概算汇总表（详细）'!F56</f>
        <v>261.378</v>
      </c>
      <c r="D28" s="66"/>
    </row>
    <row r="29" ht="22.2" customHeight="1" spans="1:4">
      <c r="A29" s="67">
        <v>2</v>
      </c>
      <c r="B29" s="70" t="s">
        <v>22</v>
      </c>
      <c r="C29" s="66">
        <f>'概算汇总表（详细）'!F57</f>
        <v>270.196662304</v>
      </c>
      <c r="D29" s="66"/>
    </row>
    <row r="30" ht="22.2" customHeight="1" spans="1:4">
      <c r="A30" s="67">
        <v>3</v>
      </c>
      <c r="B30" s="70" t="s">
        <v>23</v>
      </c>
      <c r="C30" s="66">
        <f>'概算汇总表（详细）'!F58</f>
        <v>85.45037685</v>
      </c>
      <c r="D30" s="66"/>
    </row>
    <row r="31" ht="22.2" customHeight="1" spans="1:4">
      <c r="A31" s="67">
        <v>4</v>
      </c>
      <c r="B31" s="70" t="s">
        <v>24</v>
      </c>
      <c r="C31" s="66">
        <f>'概算汇总表（详细）'!F59</f>
        <v>367</v>
      </c>
      <c r="D31" s="66"/>
    </row>
    <row r="32" ht="22.2" customHeight="1" spans="1:4">
      <c r="A32" s="67">
        <v>5</v>
      </c>
      <c r="B32" s="70" t="s">
        <v>25</v>
      </c>
      <c r="C32" s="66">
        <f>'概算汇总表（详细）'!F60</f>
        <v>60.67758</v>
      </c>
      <c r="D32" s="66"/>
    </row>
    <row r="33" ht="22.2" customHeight="1" spans="1:4">
      <c r="A33" s="67">
        <v>6</v>
      </c>
      <c r="B33" s="70" t="s">
        <v>26</v>
      </c>
      <c r="C33" s="66">
        <f>'概算汇总表（详细）'!F61</f>
        <v>43.528503298432</v>
      </c>
      <c r="D33" s="66"/>
    </row>
    <row r="34" ht="22.2" customHeight="1" spans="1:4">
      <c r="A34" s="67">
        <v>7</v>
      </c>
      <c r="B34" s="70" t="s">
        <v>27</v>
      </c>
      <c r="C34" s="66">
        <f>'概算汇总表（详细）'!F62</f>
        <v>146</v>
      </c>
      <c r="D34" s="66"/>
    </row>
    <row r="35" ht="22.2" customHeight="1" spans="1:4">
      <c r="A35" s="67">
        <v>8</v>
      </c>
      <c r="B35" s="70" t="s">
        <v>28</v>
      </c>
      <c r="C35" s="66">
        <f>'概算汇总表（详细）'!F63</f>
        <v>20.22586</v>
      </c>
      <c r="D35" s="66"/>
    </row>
    <row r="36" ht="22.2" customHeight="1" spans="1:4">
      <c r="A36" s="67">
        <v>9</v>
      </c>
      <c r="B36" s="70" t="s">
        <v>29</v>
      </c>
      <c r="C36" s="66">
        <f>'概算汇总表（详细）'!F64</f>
        <v>170.012955</v>
      </c>
      <c r="D36" s="71"/>
    </row>
    <row r="37" ht="22.2" customHeight="1" spans="1:4">
      <c r="A37" s="67">
        <v>10</v>
      </c>
      <c r="B37" s="70" t="s">
        <v>30</v>
      </c>
      <c r="C37" s="66">
        <f>'概算汇总表（详细）'!F65</f>
        <v>7.5322954</v>
      </c>
      <c r="D37" s="66"/>
    </row>
    <row r="38" ht="22.2" customHeight="1" spans="1:4">
      <c r="A38" s="67">
        <v>11</v>
      </c>
      <c r="B38" s="70" t="s">
        <v>31</v>
      </c>
      <c r="C38" s="66">
        <f>'概算汇总表（详细）'!F66</f>
        <v>202.2586</v>
      </c>
      <c r="D38" s="66"/>
    </row>
    <row r="39" ht="22.2" customHeight="1" spans="1:4">
      <c r="A39" s="67">
        <v>12</v>
      </c>
      <c r="B39" s="70" t="s">
        <v>32</v>
      </c>
      <c r="C39" s="66">
        <f>'概算汇总表（详细）'!F67</f>
        <v>3.8860104</v>
      </c>
      <c r="D39" s="66"/>
    </row>
    <row r="40" ht="29.25" customHeight="1" spans="1:4">
      <c r="A40" s="67">
        <v>13</v>
      </c>
      <c r="B40" s="70" t="s">
        <v>33</v>
      </c>
      <c r="C40" s="66">
        <f>'概算汇总表（详细）'!F68</f>
        <v>3.238342</v>
      </c>
      <c r="D40" s="66"/>
    </row>
    <row r="41" ht="22.2" customHeight="1" spans="1:4">
      <c r="A41" s="67">
        <v>14</v>
      </c>
      <c r="B41" s="70" t="s">
        <v>34</v>
      </c>
      <c r="C41" s="66">
        <f>'概算汇总表（详细）'!F69</f>
        <v>47.5</v>
      </c>
      <c r="D41" s="66"/>
    </row>
    <row r="42" ht="22.2" customHeight="1" spans="1:4">
      <c r="A42" s="67">
        <v>15</v>
      </c>
      <c r="B42" s="70" t="s">
        <v>35</v>
      </c>
      <c r="C42" s="66">
        <f>'概算汇总表（详细）'!F70</f>
        <v>10</v>
      </c>
      <c r="D42" s="66"/>
    </row>
    <row r="43" ht="22.2" customHeight="1" spans="1:4">
      <c r="A43" s="67">
        <v>16</v>
      </c>
      <c r="B43" s="70" t="s">
        <v>36</v>
      </c>
      <c r="C43" s="66">
        <f>'概算汇总表（详细）'!F71</f>
        <v>10</v>
      </c>
      <c r="D43" s="66"/>
    </row>
    <row r="44" ht="22.2" customHeight="1" spans="1:4">
      <c r="A44" s="67">
        <v>17</v>
      </c>
      <c r="B44" s="70" t="s">
        <v>37</v>
      </c>
      <c r="C44" s="66">
        <f>'概算汇总表（详细）'!F72</f>
        <v>20.22586</v>
      </c>
      <c r="D44" s="66"/>
    </row>
    <row r="45" ht="22.2" customHeight="1" spans="1:4">
      <c r="A45" s="67">
        <v>18</v>
      </c>
      <c r="B45" s="70" t="s">
        <v>38</v>
      </c>
      <c r="C45" s="66">
        <f>'概算汇总表（详细）'!F73</f>
        <v>3</v>
      </c>
      <c r="D45" s="66"/>
    </row>
    <row r="46" ht="22.2" customHeight="1" spans="1:4">
      <c r="A46" s="67">
        <v>19</v>
      </c>
      <c r="B46" s="70" t="s">
        <v>39</v>
      </c>
      <c r="C46" s="66">
        <f>'概算汇总表（详细）'!F74</f>
        <v>2.43</v>
      </c>
      <c r="D46" s="66"/>
    </row>
    <row r="47" ht="22.2" customHeight="1" spans="1:4">
      <c r="A47" s="7" t="s">
        <v>40</v>
      </c>
      <c r="B47" s="62" t="s">
        <v>41</v>
      </c>
      <c r="C47" s="63">
        <f>'概算汇总表（详细）'!F76</f>
        <v>439.21</v>
      </c>
      <c r="D47" s="66"/>
    </row>
    <row r="48" ht="22.2" customHeight="1" spans="1:4">
      <c r="A48" s="7" t="s">
        <v>42</v>
      </c>
      <c r="B48" s="62" t="s">
        <v>43</v>
      </c>
      <c r="C48" s="63">
        <f>'概算汇总表（详细）'!F79</f>
        <v>22399.61</v>
      </c>
      <c r="D48" s="63"/>
    </row>
    <row r="49" spans="1:4">
      <c r="A49" s="72"/>
      <c r="B49" s="72"/>
      <c r="C49" s="73"/>
      <c r="D49" s="73"/>
    </row>
  </sheetData>
  <mergeCells count="1">
    <mergeCell ref="A1:D1"/>
  </mergeCells>
  <pageMargins left="0.700694444444445" right="0.700694444444445" top="0.751388888888889" bottom="0.751388888888889" header="0.298611111111111" footer="0.298611111111111"/>
  <pageSetup paperSize="9" scale="81"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0"/>
  <sheetViews>
    <sheetView view="pageBreakPreview" zoomScaleNormal="100" workbookViewId="0">
      <pane ySplit="3" topLeftCell="A25" activePane="bottomLeft" state="frozen"/>
      <selection/>
      <selection pane="bottomLeft" activeCell="G55" sqref="G55"/>
    </sheetView>
  </sheetViews>
  <sheetFormatPr defaultColWidth="9" defaultRowHeight="14.4"/>
  <cols>
    <col min="1" max="1" width="12.5555555555556" customWidth="1"/>
    <col min="2" max="2" width="29" customWidth="1"/>
    <col min="3" max="3" width="20.7777777777778" customWidth="1"/>
    <col min="4" max="4" width="18.7777777777778" customWidth="1"/>
    <col min="5" max="5" width="18.5555555555556" customWidth="1"/>
    <col min="6" max="6" width="16.7777777777778" customWidth="1"/>
    <col min="7" max="7" width="24" customWidth="1"/>
    <col min="8" max="8" width="11.4444444444444" customWidth="1"/>
    <col min="9" max="9" width="24.4444444444444" customWidth="1"/>
    <col min="10" max="12" width="12.5555555555556"/>
  </cols>
  <sheetData>
    <row r="1" ht="27" customHeight="1" spans="1:9">
      <c r="A1" s="34" t="s">
        <v>44</v>
      </c>
      <c r="B1" s="34"/>
      <c r="C1" s="34"/>
      <c r="D1" s="34"/>
      <c r="E1" s="34"/>
      <c r="F1" s="34"/>
      <c r="G1" s="34"/>
      <c r="H1" s="34"/>
      <c r="I1" s="34"/>
    </row>
    <row r="2" ht="24" customHeight="1" spans="1:9">
      <c r="A2" s="2" t="s">
        <v>1</v>
      </c>
      <c r="B2" s="3" t="s">
        <v>2</v>
      </c>
      <c r="C2" s="4" t="s">
        <v>45</v>
      </c>
      <c r="D2" s="4"/>
      <c r="E2" s="4"/>
      <c r="F2" s="4"/>
      <c r="G2" s="2" t="s">
        <v>46</v>
      </c>
      <c r="H2" s="2"/>
      <c r="I2" s="2"/>
    </row>
    <row r="3" ht="23.25" customHeight="1" spans="1:9">
      <c r="A3" s="2"/>
      <c r="B3" s="3"/>
      <c r="C3" s="4" t="s">
        <v>47</v>
      </c>
      <c r="D3" s="4" t="s">
        <v>48</v>
      </c>
      <c r="E3" s="4" t="s">
        <v>49</v>
      </c>
      <c r="F3" s="4" t="s">
        <v>50</v>
      </c>
      <c r="G3" s="2" t="s">
        <v>51</v>
      </c>
      <c r="H3" s="2" t="s">
        <v>52</v>
      </c>
      <c r="I3" s="2" t="s">
        <v>53</v>
      </c>
    </row>
    <row r="4" ht="22.2" customHeight="1" spans="1:9">
      <c r="A4" s="40" t="s">
        <v>54</v>
      </c>
      <c r="B4" s="36" t="s">
        <v>6</v>
      </c>
      <c r="C4" s="42">
        <f>ROUND((C5+C16+C33+C37+C46+C25+C40+C41),2)</f>
        <v>20085.86</v>
      </c>
      <c r="D4" s="42">
        <f>ROUND((D5+D16+D46+D25),2)</f>
        <v>140</v>
      </c>
      <c r="E4" s="42"/>
      <c r="F4" s="42">
        <f>ROUND((C4+D4+E4),2)</f>
        <v>20225.86</v>
      </c>
      <c r="G4" s="42">
        <f>G5+G16+G25</f>
        <v>32383.42</v>
      </c>
      <c r="H4" s="40" t="s">
        <v>55</v>
      </c>
      <c r="I4" s="42">
        <f t="shared" ref="I4:I10" si="0">F4*10000/G4</f>
        <v>6245.74550804084</v>
      </c>
    </row>
    <row r="5" ht="22.2" customHeight="1" spans="1:9">
      <c r="A5" s="11">
        <v>1</v>
      </c>
      <c r="B5" s="8" t="s">
        <v>7</v>
      </c>
      <c r="C5" s="9">
        <f>ROUND((C6+C11),2)</f>
        <v>4014.69</v>
      </c>
      <c r="D5" s="9"/>
      <c r="E5" s="9"/>
      <c r="F5" s="9">
        <f>C5+D5+E5</f>
        <v>4014.69</v>
      </c>
      <c r="G5" s="9">
        <v>5074.74</v>
      </c>
      <c r="H5" s="7" t="s">
        <v>56</v>
      </c>
      <c r="I5" s="9">
        <f t="shared" si="0"/>
        <v>7911.12451081238</v>
      </c>
    </row>
    <row r="6" ht="22.2" customHeight="1" spans="1:9">
      <c r="A6" s="11">
        <v>1.1</v>
      </c>
      <c r="B6" s="8" t="s">
        <v>8</v>
      </c>
      <c r="C6" s="9">
        <f>ROUND((C7+C8+C10+C9),2)</f>
        <v>3408.53</v>
      </c>
      <c r="D6" s="9"/>
      <c r="E6" s="9"/>
      <c r="F6" s="9">
        <f>C6+D6+E6</f>
        <v>3408.53</v>
      </c>
      <c r="G6" s="9">
        <f>G5</f>
        <v>5074.74</v>
      </c>
      <c r="H6" s="7" t="s">
        <v>56</v>
      </c>
      <c r="I6" s="9">
        <f t="shared" si="0"/>
        <v>6716.65937565274</v>
      </c>
    </row>
    <row r="7" ht="22.2" customHeight="1" spans="1:9">
      <c r="A7" s="12" t="s">
        <v>57</v>
      </c>
      <c r="B7" s="13" t="s">
        <v>58</v>
      </c>
      <c r="C7" s="14">
        <v>364.6285</v>
      </c>
      <c r="D7" s="14"/>
      <c r="E7" s="14"/>
      <c r="F7" s="14">
        <f t="shared" ref="F7:F11" si="1">C7+D7+E7</f>
        <v>364.6285</v>
      </c>
      <c r="G7" s="14">
        <f>G5</f>
        <v>5074.74</v>
      </c>
      <c r="H7" s="20" t="s">
        <v>59</v>
      </c>
      <c r="I7" s="14">
        <f t="shared" si="0"/>
        <v>718.516613659025</v>
      </c>
    </row>
    <row r="8" ht="22.2" customHeight="1" spans="1:9">
      <c r="A8" s="12" t="s">
        <v>60</v>
      </c>
      <c r="B8" s="13" t="s">
        <v>61</v>
      </c>
      <c r="C8" s="14">
        <v>281.7374</v>
      </c>
      <c r="D8" s="14"/>
      <c r="E8" s="14"/>
      <c r="F8" s="14">
        <f t="shared" si="1"/>
        <v>281.7374</v>
      </c>
      <c r="G8" s="14">
        <v>53176.14</v>
      </c>
      <c r="H8" s="20" t="s">
        <v>62</v>
      </c>
      <c r="I8" s="14">
        <f t="shared" si="0"/>
        <v>52.9819200867156</v>
      </c>
    </row>
    <row r="9" ht="22.2" customHeight="1" spans="1:9">
      <c r="A9" s="12" t="s">
        <v>63</v>
      </c>
      <c r="B9" s="13" t="s">
        <v>64</v>
      </c>
      <c r="C9" s="14">
        <v>682.7741</v>
      </c>
      <c r="D9" s="14"/>
      <c r="E9" s="14"/>
      <c r="F9" s="14">
        <f t="shared" si="1"/>
        <v>682.7741</v>
      </c>
      <c r="G9" s="14">
        <f>G4</f>
        <v>32383.42</v>
      </c>
      <c r="H9" s="20" t="s">
        <v>59</v>
      </c>
      <c r="I9" s="14">
        <f t="shared" ref="I9" si="2">F9*10000/G9</f>
        <v>210.84064005593</v>
      </c>
    </row>
    <row r="10" ht="22.2" customHeight="1" spans="1:9">
      <c r="A10" s="12" t="s">
        <v>65</v>
      </c>
      <c r="B10" s="13" t="s">
        <v>8</v>
      </c>
      <c r="C10" s="14">
        <v>2079.3885</v>
      </c>
      <c r="D10" s="14"/>
      <c r="E10" s="14"/>
      <c r="F10" s="14">
        <f t="shared" si="1"/>
        <v>2079.3885</v>
      </c>
      <c r="G10" s="14">
        <f>G7</f>
        <v>5074.74</v>
      </c>
      <c r="H10" s="20" t="s">
        <v>59</v>
      </c>
      <c r="I10" s="14">
        <f t="shared" si="0"/>
        <v>4097.52716395323</v>
      </c>
    </row>
    <row r="11" ht="22.2" customHeight="1" spans="1:9">
      <c r="A11" s="11">
        <v>1.2</v>
      </c>
      <c r="B11" s="8" t="s">
        <v>9</v>
      </c>
      <c r="C11" s="9">
        <f>ROUND((C12+C13+C14+C15),2)</f>
        <v>606.16</v>
      </c>
      <c r="D11" s="9"/>
      <c r="E11" s="9"/>
      <c r="F11" s="9">
        <f t="shared" si="1"/>
        <v>606.16</v>
      </c>
      <c r="G11" s="9">
        <f>G12</f>
        <v>5074.74</v>
      </c>
      <c r="H11" s="7" t="s">
        <v>56</v>
      </c>
      <c r="I11" s="9">
        <f t="shared" ref="I11:I17" si="3">F11*10000/G11</f>
        <v>1194.46513515963</v>
      </c>
    </row>
    <row r="12" ht="22.2" customHeight="1" spans="1:9">
      <c r="A12" s="12" t="s">
        <v>66</v>
      </c>
      <c r="B12" s="16" t="s">
        <v>67</v>
      </c>
      <c r="C12" s="14">
        <v>155.3692</v>
      </c>
      <c r="D12" s="14"/>
      <c r="E12" s="14"/>
      <c r="F12" s="14">
        <f t="shared" ref="F12:F53" si="4">C12+D12+E12</f>
        <v>155.3692</v>
      </c>
      <c r="G12" s="14">
        <f>G6</f>
        <v>5074.74</v>
      </c>
      <c r="H12" s="20" t="s">
        <v>59</v>
      </c>
      <c r="I12" s="14">
        <f t="shared" si="3"/>
        <v>306.161892037819</v>
      </c>
    </row>
    <row r="13" ht="22.2" customHeight="1" spans="1:9">
      <c r="A13" s="12" t="s">
        <v>68</v>
      </c>
      <c r="B13" s="16" t="s">
        <v>69</v>
      </c>
      <c r="C13" s="14">
        <v>105.1921</v>
      </c>
      <c r="D13" s="14"/>
      <c r="E13" s="14"/>
      <c r="F13" s="14">
        <f t="shared" si="4"/>
        <v>105.1921</v>
      </c>
      <c r="G13" s="14">
        <f>G12</f>
        <v>5074.74</v>
      </c>
      <c r="H13" s="20" t="s">
        <v>59</v>
      </c>
      <c r="I13" s="14">
        <f t="shared" si="3"/>
        <v>207.285693454246</v>
      </c>
    </row>
    <row r="14" ht="22.2" customHeight="1" spans="1:9">
      <c r="A14" s="12" t="s">
        <v>70</v>
      </c>
      <c r="B14" s="16" t="s">
        <v>71</v>
      </c>
      <c r="C14" s="14">
        <v>139.4002</v>
      </c>
      <c r="D14" s="14"/>
      <c r="E14" s="14"/>
      <c r="F14" s="14">
        <f t="shared" si="4"/>
        <v>139.4002</v>
      </c>
      <c r="G14" s="14">
        <f>G12</f>
        <v>5074.74</v>
      </c>
      <c r="H14" s="20" t="s">
        <v>59</v>
      </c>
      <c r="I14" s="14">
        <f t="shared" si="3"/>
        <v>274.694270051274</v>
      </c>
    </row>
    <row r="15" ht="22.2" customHeight="1" spans="1:9">
      <c r="A15" s="12" t="s">
        <v>72</v>
      </c>
      <c r="B15" s="16" t="s">
        <v>73</v>
      </c>
      <c r="C15" s="14">
        <v>206.202</v>
      </c>
      <c r="D15" s="14"/>
      <c r="E15" s="14"/>
      <c r="F15" s="14">
        <f t="shared" si="4"/>
        <v>206.202</v>
      </c>
      <c r="G15" s="14">
        <f>G11</f>
        <v>5074.74</v>
      </c>
      <c r="H15" s="20" t="s">
        <v>59</v>
      </c>
      <c r="I15" s="14">
        <f t="shared" si="3"/>
        <v>406.330176521359</v>
      </c>
    </row>
    <row r="16" ht="22.2" customHeight="1" spans="1:9">
      <c r="A16" s="11">
        <v>2</v>
      </c>
      <c r="B16" s="8" t="s">
        <v>10</v>
      </c>
      <c r="C16" s="9">
        <f>ROUND((C17+C18+C24),2)</f>
        <v>7846.98</v>
      </c>
      <c r="D16" s="9">
        <f>D18</f>
        <v>90</v>
      </c>
      <c r="E16" s="9"/>
      <c r="F16" s="9">
        <f t="shared" si="4"/>
        <v>7936.98</v>
      </c>
      <c r="G16" s="9">
        <v>22606.26</v>
      </c>
      <c r="H16" s="7" t="s">
        <v>56</v>
      </c>
      <c r="I16" s="9">
        <f t="shared" si="3"/>
        <v>3510.9655467114</v>
      </c>
    </row>
    <row r="17" ht="22.2" customHeight="1" spans="1:9">
      <c r="A17" s="12">
        <v>2.1</v>
      </c>
      <c r="B17" s="13" t="s">
        <v>8</v>
      </c>
      <c r="C17" s="14">
        <v>6244.8058</v>
      </c>
      <c r="D17" s="14"/>
      <c r="E17" s="14"/>
      <c r="F17" s="14">
        <f t="shared" si="4"/>
        <v>6244.8058</v>
      </c>
      <c r="G17" s="14">
        <f>G16</f>
        <v>22606.26</v>
      </c>
      <c r="H17" s="20" t="s">
        <v>59</v>
      </c>
      <c r="I17" s="14">
        <f t="shared" si="3"/>
        <v>2762.42324028831</v>
      </c>
    </row>
    <row r="18" ht="22.2" customHeight="1" spans="1:9">
      <c r="A18" s="12">
        <v>2.2</v>
      </c>
      <c r="B18" s="13" t="s">
        <v>9</v>
      </c>
      <c r="C18" s="14">
        <f>ROUND((C19+C20+C21+C22+C23),2)</f>
        <v>1502.17</v>
      </c>
      <c r="D18" s="14">
        <f>D23</f>
        <v>90</v>
      </c>
      <c r="E18" s="14"/>
      <c r="F18" s="14">
        <f t="shared" si="4"/>
        <v>1592.17</v>
      </c>
      <c r="G18" s="14">
        <f>G16</f>
        <v>22606.26</v>
      </c>
      <c r="H18" s="20" t="s">
        <v>59</v>
      </c>
      <c r="I18" s="14">
        <f t="shared" ref="I18:I37" si="5">F18*10000/G18</f>
        <v>704.304913771672</v>
      </c>
    </row>
    <row r="19" ht="22.2" customHeight="1" spans="1:9">
      <c r="A19" s="12" t="s">
        <v>74</v>
      </c>
      <c r="B19" s="16" t="s">
        <v>67</v>
      </c>
      <c r="C19" s="14">
        <v>265.7222</v>
      </c>
      <c r="D19" s="14"/>
      <c r="E19" s="14"/>
      <c r="F19" s="14">
        <f t="shared" si="4"/>
        <v>265.7222</v>
      </c>
      <c r="G19" s="14">
        <f>G16</f>
        <v>22606.26</v>
      </c>
      <c r="H19" s="20" t="s">
        <v>59</v>
      </c>
      <c r="I19" s="14">
        <f t="shared" si="5"/>
        <v>117.543636143263</v>
      </c>
    </row>
    <row r="20" ht="22.2" customHeight="1" spans="1:9">
      <c r="A20" s="12" t="s">
        <v>75</v>
      </c>
      <c r="B20" s="16" t="s">
        <v>69</v>
      </c>
      <c r="C20" s="14">
        <v>358.2688</v>
      </c>
      <c r="D20" s="14"/>
      <c r="E20" s="14"/>
      <c r="F20" s="14">
        <f t="shared" si="4"/>
        <v>358.2688</v>
      </c>
      <c r="G20" s="14">
        <f>G16</f>
        <v>22606.26</v>
      </c>
      <c r="H20" s="20" t="s">
        <v>59</v>
      </c>
      <c r="I20" s="14">
        <f t="shared" si="5"/>
        <v>158.482119554495</v>
      </c>
    </row>
    <row r="21" ht="22.2" customHeight="1" spans="1:11">
      <c r="A21" s="12" t="s">
        <v>76</v>
      </c>
      <c r="B21" s="16" t="s">
        <v>77</v>
      </c>
      <c r="C21" s="14">
        <v>198.3925</v>
      </c>
      <c r="D21" s="14"/>
      <c r="E21" s="14"/>
      <c r="F21" s="14">
        <f t="shared" si="4"/>
        <v>198.3925</v>
      </c>
      <c r="G21" s="14">
        <f>G16</f>
        <v>22606.26</v>
      </c>
      <c r="H21" s="20" t="s">
        <v>59</v>
      </c>
      <c r="I21" s="14">
        <f t="shared" si="5"/>
        <v>87.7599832966621</v>
      </c>
      <c r="K21" s="25"/>
    </row>
    <row r="22" ht="22.2" customHeight="1" spans="1:9">
      <c r="A22" s="12" t="s">
        <v>78</v>
      </c>
      <c r="B22" s="16" t="s">
        <v>73</v>
      </c>
      <c r="C22" s="14">
        <v>679.788</v>
      </c>
      <c r="D22" s="14"/>
      <c r="E22" s="14"/>
      <c r="F22" s="14">
        <f t="shared" si="4"/>
        <v>679.788</v>
      </c>
      <c r="G22" s="14">
        <f>G16</f>
        <v>22606.26</v>
      </c>
      <c r="H22" s="20" t="s">
        <v>59</v>
      </c>
      <c r="I22" s="14">
        <f t="shared" si="5"/>
        <v>300.707857027213</v>
      </c>
    </row>
    <row r="23" ht="22.2" customHeight="1" spans="1:9">
      <c r="A23" s="12" t="s">
        <v>79</v>
      </c>
      <c r="B23" s="48" t="s">
        <v>80</v>
      </c>
      <c r="C23" s="14"/>
      <c r="D23" s="14">
        <v>90</v>
      </c>
      <c r="E23" s="14"/>
      <c r="F23" s="14">
        <f t="shared" si="4"/>
        <v>90</v>
      </c>
      <c r="G23" s="14">
        <f>G16</f>
        <v>22606.26</v>
      </c>
      <c r="H23" s="20" t="s">
        <v>59</v>
      </c>
      <c r="I23" s="14">
        <f t="shared" si="5"/>
        <v>39.8119812830605</v>
      </c>
    </row>
    <row r="24" ht="21.75" customHeight="1" spans="1:9">
      <c r="A24" s="12">
        <v>2.3</v>
      </c>
      <c r="B24" s="13" t="s">
        <v>11</v>
      </c>
      <c r="C24" s="14">
        <f>I24/10000</f>
        <v>100</v>
      </c>
      <c r="D24" s="14"/>
      <c r="E24" s="14"/>
      <c r="F24" s="14">
        <f t="shared" si="4"/>
        <v>100</v>
      </c>
      <c r="G24" s="41">
        <v>1</v>
      </c>
      <c r="H24" s="20" t="s">
        <v>81</v>
      </c>
      <c r="I24" s="14">
        <v>1000000</v>
      </c>
    </row>
    <row r="25" ht="22.2" customHeight="1" spans="1:9">
      <c r="A25" s="11">
        <v>3</v>
      </c>
      <c r="B25" s="8" t="s">
        <v>12</v>
      </c>
      <c r="C25" s="9">
        <f>ROUND((C26+C27),2)</f>
        <v>1803.33</v>
      </c>
      <c r="D25" s="9">
        <f>D27</f>
        <v>30</v>
      </c>
      <c r="E25" s="9"/>
      <c r="F25" s="9">
        <f t="shared" si="4"/>
        <v>1833.33</v>
      </c>
      <c r="G25" s="9">
        <v>4702.42</v>
      </c>
      <c r="H25" s="7" t="s">
        <v>56</v>
      </c>
      <c r="I25" s="9">
        <f>F25*10000/G25</f>
        <v>3898.69471463629</v>
      </c>
    </row>
    <row r="26" ht="22.2" customHeight="1" spans="1:9">
      <c r="A26" s="12">
        <v>3.1</v>
      </c>
      <c r="B26" s="13" t="s">
        <v>8</v>
      </c>
      <c r="C26" s="14">
        <v>1212.0118</v>
      </c>
      <c r="D26" s="14"/>
      <c r="E26" s="14"/>
      <c r="F26" s="14">
        <f t="shared" ref="F26:F27" si="6">C26+D26+E26</f>
        <v>1212.0118</v>
      </c>
      <c r="G26" s="14">
        <f>G25</f>
        <v>4702.42</v>
      </c>
      <c r="H26" s="20" t="s">
        <v>59</v>
      </c>
      <c r="I26" s="14">
        <f>F26*10000/G26</f>
        <v>2577.42141280447</v>
      </c>
    </row>
    <row r="27" ht="22.2" customHeight="1" spans="1:9">
      <c r="A27" s="12">
        <v>3.2</v>
      </c>
      <c r="B27" s="13" t="s">
        <v>9</v>
      </c>
      <c r="C27" s="14">
        <f>ROUND((C28+C29+C30+C31+C32),2)</f>
        <v>591.32</v>
      </c>
      <c r="D27" s="14">
        <f>D32</f>
        <v>30</v>
      </c>
      <c r="E27" s="14"/>
      <c r="F27" s="14">
        <f t="shared" si="6"/>
        <v>621.32</v>
      </c>
      <c r="G27" s="14">
        <f>G25</f>
        <v>4702.42</v>
      </c>
      <c r="H27" s="20" t="s">
        <v>59</v>
      </c>
      <c r="I27" s="14">
        <f t="shared" ref="I27:I33" si="7">F27*10000/G27</f>
        <v>1321.27712964814</v>
      </c>
    </row>
    <row r="28" ht="22.2" customHeight="1" spans="1:9">
      <c r="A28" s="12" t="s">
        <v>82</v>
      </c>
      <c r="B28" s="16" t="s">
        <v>67</v>
      </c>
      <c r="C28" s="14">
        <v>86.555</v>
      </c>
      <c r="D28" s="14"/>
      <c r="E28" s="14"/>
      <c r="F28" s="14">
        <f t="shared" ref="F28:F33" si="8">C28+D28+E28</f>
        <v>86.555</v>
      </c>
      <c r="G28" s="14">
        <f>G25</f>
        <v>4702.42</v>
      </c>
      <c r="H28" s="20" t="s">
        <v>59</v>
      </c>
      <c r="I28" s="14">
        <f t="shared" si="7"/>
        <v>184.064800677098</v>
      </c>
    </row>
    <row r="29" ht="22.2" customHeight="1" spans="1:9">
      <c r="A29" s="12" t="s">
        <v>83</v>
      </c>
      <c r="B29" s="16" t="s">
        <v>69</v>
      </c>
      <c r="C29" s="14">
        <v>93.6325</v>
      </c>
      <c r="D29" s="14"/>
      <c r="E29" s="14"/>
      <c r="F29" s="14">
        <f t="shared" si="8"/>
        <v>93.6325</v>
      </c>
      <c r="G29" s="14">
        <f>G25</f>
        <v>4702.42</v>
      </c>
      <c r="H29" s="20" t="s">
        <v>59</v>
      </c>
      <c r="I29" s="14">
        <f t="shared" si="7"/>
        <v>199.115561774576</v>
      </c>
    </row>
    <row r="30" ht="22.2" customHeight="1" spans="1:11">
      <c r="A30" s="12" t="s">
        <v>84</v>
      </c>
      <c r="B30" s="16" t="s">
        <v>77</v>
      </c>
      <c r="C30" s="14">
        <v>241.2379</v>
      </c>
      <c r="D30" s="14"/>
      <c r="E30" s="14"/>
      <c r="F30" s="14">
        <f t="shared" si="8"/>
        <v>241.2379</v>
      </c>
      <c r="G30" s="14">
        <f>G25</f>
        <v>4702.42</v>
      </c>
      <c r="H30" s="20" t="s">
        <v>59</v>
      </c>
      <c r="I30" s="14">
        <f t="shared" si="7"/>
        <v>513.007983123583</v>
      </c>
      <c r="K30" s="25"/>
    </row>
    <row r="31" ht="22.2" customHeight="1" spans="1:9">
      <c r="A31" s="12" t="s">
        <v>85</v>
      </c>
      <c r="B31" s="16" t="s">
        <v>73</v>
      </c>
      <c r="C31" s="14">
        <v>169.8906</v>
      </c>
      <c r="D31" s="14"/>
      <c r="E31" s="14"/>
      <c r="F31" s="14">
        <f t="shared" si="8"/>
        <v>169.8906</v>
      </c>
      <c r="G31" s="14">
        <f>G25</f>
        <v>4702.42</v>
      </c>
      <c r="H31" s="20" t="s">
        <v>59</v>
      </c>
      <c r="I31" s="14">
        <f t="shared" si="7"/>
        <v>361.283339216829</v>
      </c>
    </row>
    <row r="32" ht="22.2" customHeight="1" spans="1:9">
      <c r="A32" s="12" t="s">
        <v>86</v>
      </c>
      <c r="B32" s="17" t="s">
        <v>80</v>
      </c>
      <c r="C32" s="14"/>
      <c r="D32" s="14">
        <v>30</v>
      </c>
      <c r="E32" s="14"/>
      <c r="F32" s="14">
        <f t="shared" si="8"/>
        <v>30</v>
      </c>
      <c r="G32" s="14">
        <f>G25</f>
        <v>4702.42</v>
      </c>
      <c r="H32" s="20" t="s">
        <v>59</v>
      </c>
      <c r="I32" s="14">
        <f t="shared" si="7"/>
        <v>63.7969385975732</v>
      </c>
    </row>
    <row r="33" ht="22.2" customHeight="1" spans="1:9">
      <c r="A33" s="7">
        <v>4</v>
      </c>
      <c r="B33" s="8" t="s">
        <v>13</v>
      </c>
      <c r="C33" s="9">
        <f>ROUND(C34+C35+C36,2)</f>
        <v>1970.1</v>
      </c>
      <c r="D33" s="14"/>
      <c r="E33" s="14"/>
      <c r="F33" s="9">
        <f t="shared" si="8"/>
        <v>1970.1</v>
      </c>
      <c r="G33" s="9">
        <f>G34+G35+G36</f>
        <v>32383.42</v>
      </c>
      <c r="H33" s="7" t="s">
        <v>56</v>
      </c>
      <c r="I33" s="9">
        <f t="shared" si="7"/>
        <v>608.366874159678</v>
      </c>
    </row>
    <row r="34" ht="22.2" customHeight="1" spans="1:9">
      <c r="A34" s="18">
        <v>4.1</v>
      </c>
      <c r="B34" s="13" t="s">
        <v>14</v>
      </c>
      <c r="C34" s="14">
        <v>185.4377</v>
      </c>
      <c r="D34" s="14"/>
      <c r="E34" s="14"/>
      <c r="F34" s="14">
        <f>C34</f>
        <v>185.4377</v>
      </c>
      <c r="G34" s="14">
        <f>G5</f>
        <v>5074.74</v>
      </c>
      <c r="H34" s="20" t="s">
        <v>59</v>
      </c>
      <c r="I34" s="14">
        <f t="shared" si="5"/>
        <v>365.413203435053</v>
      </c>
    </row>
    <row r="35" ht="22.2" customHeight="1" spans="1:9">
      <c r="A35" s="18">
        <v>4.2</v>
      </c>
      <c r="B35" s="13" t="s">
        <v>10</v>
      </c>
      <c r="C35" s="14">
        <v>1438.7445</v>
      </c>
      <c r="D35" s="14"/>
      <c r="E35" s="14"/>
      <c r="F35" s="14">
        <f>C35</f>
        <v>1438.7445</v>
      </c>
      <c r="G35" s="14">
        <f>G16</f>
        <v>22606.26</v>
      </c>
      <c r="H35" s="20" t="s">
        <v>59</v>
      </c>
      <c r="I35" s="14">
        <f t="shared" si="5"/>
        <v>636.43632339007</v>
      </c>
    </row>
    <row r="36" ht="22.2" customHeight="1" spans="1:9">
      <c r="A36" s="18">
        <v>4.3</v>
      </c>
      <c r="B36" s="13" t="s">
        <v>12</v>
      </c>
      <c r="C36" s="14">
        <v>345.9202</v>
      </c>
      <c r="D36" s="14"/>
      <c r="E36" s="14"/>
      <c r="F36" s="14">
        <f>C36</f>
        <v>345.9202</v>
      </c>
      <c r="G36" s="14">
        <f>G25</f>
        <v>4702.42</v>
      </c>
      <c r="H36" s="20" t="s">
        <v>59</v>
      </c>
      <c r="I36" s="14">
        <f t="shared" si="5"/>
        <v>735.621658635341</v>
      </c>
    </row>
    <row r="37" ht="22.2" customHeight="1" spans="1:9">
      <c r="A37" s="11">
        <v>5</v>
      </c>
      <c r="B37" s="19" t="s">
        <v>15</v>
      </c>
      <c r="C37" s="9">
        <f>ROUND(C38+C39,2)</f>
        <v>1504.72</v>
      </c>
      <c r="D37" s="9"/>
      <c r="E37" s="9"/>
      <c r="F37" s="9">
        <f>C37+D37+E37</f>
        <v>1504.72</v>
      </c>
      <c r="G37" s="9">
        <f>G38+G39</f>
        <v>27308.68</v>
      </c>
      <c r="H37" s="7" t="s">
        <v>56</v>
      </c>
      <c r="I37" s="9">
        <f t="shared" si="5"/>
        <v>551.004296069967</v>
      </c>
    </row>
    <row r="38" ht="22.2" customHeight="1" spans="1:9">
      <c r="A38" s="12">
        <v>5.1</v>
      </c>
      <c r="B38" s="13" t="s">
        <v>10</v>
      </c>
      <c r="C38" s="14">
        <v>1330.9564</v>
      </c>
      <c r="D38" s="14"/>
      <c r="E38" s="14"/>
      <c r="F38" s="14">
        <f>C38</f>
        <v>1330.9564</v>
      </c>
      <c r="G38" s="14">
        <f>G19</f>
        <v>22606.26</v>
      </c>
      <c r="H38" s="20" t="s">
        <v>59</v>
      </c>
      <c r="I38" s="14">
        <f t="shared" ref="I38:I40" si="9">F38*10000/G38</f>
        <v>588.755680948551</v>
      </c>
    </row>
    <row r="39" ht="22.2" customHeight="1" spans="1:9">
      <c r="A39" s="12">
        <v>5.2</v>
      </c>
      <c r="B39" s="13" t="s">
        <v>12</v>
      </c>
      <c r="C39" s="14">
        <v>173.76</v>
      </c>
      <c r="D39" s="14"/>
      <c r="E39" s="14"/>
      <c r="F39" s="14">
        <f>C39</f>
        <v>173.76</v>
      </c>
      <c r="G39" s="14">
        <f>G28</f>
        <v>4702.42</v>
      </c>
      <c r="H39" s="20" t="s">
        <v>59</v>
      </c>
      <c r="I39" s="14">
        <f t="shared" si="9"/>
        <v>369.511868357144</v>
      </c>
    </row>
    <row r="40" ht="22.2" customHeight="1" spans="1:9">
      <c r="A40" s="7">
        <v>6</v>
      </c>
      <c r="B40" s="8" t="s">
        <v>16</v>
      </c>
      <c r="C40" s="9">
        <v>372.4483</v>
      </c>
      <c r="D40" s="9"/>
      <c r="E40" s="9"/>
      <c r="F40" s="9">
        <f>C40</f>
        <v>372.4483</v>
      </c>
      <c r="G40" s="9">
        <v>2500</v>
      </c>
      <c r="H40" s="7" t="s">
        <v>87</v>
      </c>
      <c r="I40" s="9">
        <f t="shared" si="9"/>
        <v>1489.7932</v>
      </c>
    </row>
    <row r="41" ht="22.2" customHeight="1" spans="1:9">
      <c r="A41" s="7">
        <v>7</v>
      </c>
      <c r="B41" s="8" t="s">
        <v>17</v>
      </c>
      <c r="C41" s="9">
        <f>ROUND(C42+C43+C44+C45,2)</f>
        <v>893.46</v>
      </c>
      <c r="D41" s="14"/>
      <c r="E41" s="14"/>
      <c r="F41" s="9">
        <f>C41+D41+E41</f>
        <v>893.46</v>
      </c>
      <c r="G41" s="9"/>
      <c r="H41" s="7"/>
      <c r="I41" s="9"/>
    </row>
    <row r="42" ht="22.2" customHeight="1" spans="1:9">
      <c r="A42" s="18">
        <v>7.1</v>
      </c>
      <c r="B42" s="13" t="s">
        <v>14</v>
      </c>
      <c r="C42" s="14">
        <v>53.6987</v>
      </c>
      <c r="D42" s="14"/>
      <c r="E42" s="14"/>
      <c r="F42" s="14">
        <f>C42</f>
        <v>53.6987</v>
      </c>
      <c r="G42" s="14">
        <f>G13</f>
        <v>5074.74</v>
      </c>
      <c r="H42" s="20" t="s">
        <v>59</v>
      </c>
      <c r="I42" s="14">
        <f t="shared" ref="I42:I44" si="10">F42*10000/G42</f>
        <v>105.81566740365</v>
      </c>
    </row>
    <row r="43" ht="22.2" customHeight="1" spans="1:9">
      <c r="A43" s="18">
        <v>7.2</v>
      </c>
      <c r="B43" s="13" t="s">
        <v>10</v>
      </c>
      <c r="C43" s="14">
        <v>586.6734</v>
      </c>
      <c r="D43" s="14"/>
      <c r="E43" s="14"/>
      <c r="F43" s="14">
        <f>C43</f>
        <v>586.6734</v>
      </c>
      <c r="G43" s="14">
        <f>G16</f>
        <v>22606.26</v>
      </c>
      <c r="H43" s="20" t="s">
        <v>59</v>
      </c>
      <c r="I43" s="14">
        <f t="shared" si="10"/>
        <v>259.51811577855</v>
      </c>
    </row>
    <row r="44" ht="22.2" customHeight="1" spans="1:9">
      <c r="A44" s="18">
        <v>7.3</v>
      </c>
      <c r="B44" s="13" t="s">
        <v>12</v>
      </c>
      <c r="C44" s="14">
        <v>103.8655</v>
      </c>
      <c r="D44" s="14"/>
      <c r="E44" s="14"/>
      <c r="F44" s="14">
        <f>C44</f>
        <v>103.8655</v>
      </c>
      <c r="G44" s="14">
        <f>G25</f>
        <v>4702.42</v>
      </c>
      <c r="H44" s="20" t="s">
        <v>59</v>
      </c>
      <c r="I44" s="14">
        <f t="shared" si="10"/>
        <v>220.876697530208</v>
      </c>
    </row>
    <row r="45" ht="22.2" customHeight="1" spans="1:9">
      <c r="A45" s="12">
        <v>7.4</v>
      </c>
      <c r="B45" s="13" t="s">
        <v>88</v>
      </c>
      <c r="C45" s="14">
        <v>149.2269</v>
      </c>
      <c r="D45" s="14"/>
      <c r="E45" s="14"/>
      <c r="F45" s="14"/>
      <c r="G45" s="14"/>
      <c r="H45" s="20"/>
      <c r="I45" s="14"/>
    </row>
    <row r="46" ht="22.2" customHeight="1" spans="1:9">
      <c r="A46" s="7">
        <v>8</v>
      </c>
      <c r="B46" s="8" t="s">
        <v>18</v>
      </c>
      <c r="C46" s="9">
        <f>ROUND((SUM(C47:C53)),2)</f>
        <v>1680.13</v>
      </c>
      <c r="D46" s="9">
        <f>D53</f>
        <v>20</v>
      </c>
      <c r="E46" s="14"/>
      <c r="F46" s="9">
        <f>C46+D46+E46</f>
        <v>1700.13</v>
      </c>
      <c r="G46" s="14"/>
      <c r="H46" s="20"/>
      <c r="I46" s="14"/>
    </row>
    <row r="47" ht="22.2" customHeight="1" spans="1:9">
      <c r="A47" s="12">
        <v>8.1</v>
      </c>
      <c r="B47" s="13" t="s">
        <v>89</v>
      </c>
      <c r="C47" s="14">
        <v>837.0524</v>
      </c>
      <c r="D47" s="14"/>
      <c r="E47" s="14"/>
      <c r="F47" s="14">
        <f t="shared" si="4"/>
        <v>837.0524</v>
      </c>
      <c r="G47" s="14">
        <v>16200</v>
      </c>
      <c r="H47" s="20" t="s">
        <v>59</v>
      </c>
      <c r="I47" s="14">
        <f>F47*10000/G47</f>
        <v>516.699012345679</v>
      </c>
    </row>
    <row r="48" ht="22.2" customHeight="1" spans="1:9">
      <c r="A48" s="12">
        <v>8.2</v>
      </c>
      <c r="B48" s="13" t="s">
        <v>90</v>
      </c>
      <c r="C48" s="14">
        <v>286.7598</v>
      </c>
      <c r="D48" s="14"/>
      <c r="E48" s="14"/>
      <c r="F48" s="14">
        <f t="shared" si="4"/>
        <v>286.7598</v>
      </c>
      <c r="G48" s="14">
        <v>13633</v>
      </c>
      <c r="H48" s="20" t="s">
        <v>59</v>
      </c>
      <c r="I48" s="14">
        <f>F48*10000/G48</f>
        <v>210.342404459767</v>
      </c>
    </row>
    <row r="49" ht="22.2" customHeight="1" spans="1:9">
      <c r="A49" s="12">
        <v>8.3</v>
      </c>
      <c r="B49" s="13" t="s">
        <v>91</v>
      </c>
      <c r="C49" s="14">
        <v>278.4134</v>
      </c>
      <c r="D49" s="14"/>
      <c r="E49" s="14"/>
      <c r="F49" s="14">
        <f t="shared" si="4"/>
        <v>278.4134</v>
      </c>
      <c r="G49" s="14"/>
      <c r="H49" s="20"/>
      <c r="I49" s="14"/>
    </row>
    <row r="50" ht="22.2" customHeight="1" spans="1:9">
      <c r="A50" s="12">
        <v>8.4</v>
      </c>
      <c r="B50" s="13" t="s">
        <v>92</v>
      </c>
      <c r="C50" s="14">
        <v>40.7732</v>
      </c>
      <c r="D50" s="14"/>
      <c r="E50" s="14"/>
      <c r="F50" s="14">
        <f t="shared" si="4"/>
        <v>40.7732</v>
      </c>
      <c r="G50" s="14"/>
      <c r="H50" s="20"/>
      <c r="I50" s="14"/>
    </row>
    <row r="51" ht="22.2" customHeight="1" spans="1:9">
      <c r="A51" s="12">
        <v>8.5</v>
      </c>
      <c r="B51" s="13" t="s">
        <v>93</v>
      </c>
      <c r="C51" s="14">
        <v>175.5468</v>
      </c>
      <c r="D51" s="14"/>
      <c r="E51" s="14"/>
      <c r="F51" s="14">
        <f t="shared" si="4"/>
        <v>175.5468</v>
      </c>
      <c r="G51" s="14"/>
      <c r="H51" s="20"/>
      <c r="I51" s="14"/>
    </row>
    <row r="52" ht="22.2" customHeight="1" spans="1:9">
      <c r="A52" s="12">
        <v>8.6</v>
      </c>
      <c r="B52" s="13" t="s">
        <v>94</v>
      </c>
      <c r="C52" s="14">
        <f>ROUND(G52*I52/10000,2)</f>
        <v>61.58</v>
      </c>
      <c r="D52" s="14"/>
      <c r="E52" s="14"/>
      <c r="F52" s="14">
        <f t="shared" si="4"/>
        <v>61.58</v>
      </c>
      <c r="G52" s="14">
        <f>36663.3*(1-16.02%)</f>
        <v>30789.83934</v>
      </c>
      <c r="H52" s="20" t="s">
        <v>59</v>
      </c>
      <c r="I52" s="14">
        <v>20</v>
      </c>
    </row>
    <row r="53" ht="22.2" customHeight="1" spans="1:9">
      <c r="A53" s="12">
        <v>8.7</v>
      </c>
      <c r="B53" s="13" t="s">
        <v>95</v>
      </c>
      <c r="C53" s="14"/>
      <c r="D53" s="14">
        <f>ROUND(G53*I53/10000,2)</f>
        <v>20</v>
      </c>
      <c r="E53" s="14"/>
      <c r="F53" s="14">
        <f t="shared" si="4"/>
        <v>20</v>
      </c>
      <c r="G53" s="14">
        <v>40</v>
      </c>
      <c r="H53" s="20" t="s">
        <v>96</v>
      </c>
      <c r="I53" s="14">
        <v>5000</v>
      </c>
    </row>
    <row r="54" ht="22.2" customHeight="1" spans="1:9">
      <c r="A54" s="12"/>
      <c r="B54" s="13"/>
      <c r="C54" s="14"/>
      <c r="D54" s="14"/>
      <c r="E54" s="14"/>
      <c r="F54" s="14"/>
      <c r="G54" s="14"/>
      <c r="H54" s="20"/>
      <c r="I54" s="14"/>
    </row>
    <row r="55" ht="22.2" customHeight="1" spans="1:9">
      <c r="A55" s="7" t="s">
        <v>97</v>
      </c>
      <c r="B55" s="8" t="s">
        <v>20</v>
      </c>
      <c r="C55" s="14"/>
      <c r="D55" s="14"/>
      <c r="E55" s="9">
        <f>ROUND((E56+E57+E58+E59+E60+E61+E62+E63+E64+E65+E67+E68+E70+E71+E73+E74+E66+E69+E72),2)</f>
        <v>1734.54</v>
      </c>
      <c r="F55" s="9">
        <f>C55+D55+E55</f>
        <v>1734.54</v>
      </c>
      <c r="G55" s="14"/>
      <c r="H55" s="20"/>
      <c r="I55" s="14"/>
    </row>
    <row r="56" ht="22.2" customHeight="1" spans="1:10">
      <c r="A56" s="20">
        <v>1</v>
      </c>
      <c r="B56" s="21" t="s">
        <v>21</v>
      </c>
      <c r="C56" s="14"/>
      <c r="D56" s="14"/>
      <c r="E56" s="14">
        <v>261.378</v>
      </c>
      <c r="F56" s="14">
        <f>C56+D56+E56</f>
        <v>261.378</v>
      </c>
      <c r="G56" s="49" t="s">
        <v>98</v>
      </c>
      <c r="H56" s="50"/>
      <c r="I56" s="52"/>
      <c r="J56">
        <f>140+(F79-E56-10000)*1%</f>
        <v>261.38232</v>
      </c>
    </row>
    <row r="57" ht="22.2" customHeight="1" spans="1:12">
      <c r="A57" s="20">
        <v>2</v>
      </c>
      <c r="B57" s="21" t="s">
        <v>22</v>
      </c>
      <c r="C57" s="23"/>
      <c r="D57" s="23"/>
      <c r="E57" s="14">
        <f>L57</f>
        <v>270.196662304</v>
      </c>
      <c r="F57" s="14">
        <f>C57+D57+E57</f>
        <v>270.196662304</v>
      </c>
      <c r="G57" s="49" t="s">
        <v>99</v>
      </c>
      <c r="H57" s="50"/>
      <c r="I57" s="52"/>
      <c r="J57" s="25">
        <f>(218.6+(393.4-218.6)/10000*(F4-10000))*1</f>
        <v>397.3480328</v>
      </c>
      <c r="K57" s="25">
        <f>ROUND((50+150*0.85+(J57-200)*0.8),2)</f>
        <v>335.38</v>
      </c>
      <c r="L57" s="25">
        <f>J57*0.85*0.8</f>
        <v>270.196662304</v>
      </c>
    </row>
    <row r="58" ht="47.7" customHeight="1" spans="1:13">
      <c r="A58" s="20">
        <v>3</v>
      </c>
      <c r="B58" s="21" t="s">
        <v>100</v>
      </c>
      <c r="C58" s="23"/>
      <c r="D58" s="23"/>
      <c r="E58" s="14">
        <f>J58+K58+L58+M58</f>
        <v>85.45037685</v>
      </c>
      <c r="F58" s="14">
        <f t="shared" ref="F58:F68" si="11">C58+D58+E58</f>
        <v>85.45037685</v>
      </c>
      <c r="G58" s="49" t="s">
        <v>101</v>
      </c>
      <c r="H58" s="50"/>
      <c r="I58" s="52"/>
      <c r="J58" s="25">
        <f>(60+(139-60)*(22401.5-10000)/40000)*0.5</f>
        <v>42.24648125</v>
      </c>
      <c r="K58" s="25">
        <v>22</v>
      </c>
      <c r="L58" s="25">
        <f>(18+(42-18)*(F4-20000)/80000)*0.7</f>
        <v>12.6474306</v>
      </c>
      <c r="M58" s="25">
        <f>6+(F4-10000)*0.025%</f>
        <v>8.556465</v>
      </c>
    </row>
    <row r="59" ht="23.25" customHeight="1" spans="1:9">
      <c r="A59" s="20">
        <v>4</v>
      </c>
      <c r="B59" s="21" t="s">
        <v>102</v>
      </c>
      <c r="C59" s="23"/>
      <c r="D59" s="23"/>
      <c r="E59" s="14">
        <v>367</v>
      </c>
      <c r="F59" s="14">
        <f t="shared" si="11"/>
        <v>367</v>
      </c>
      <c r="G59" s="49" t="s">
        <v>103</v>
      </c>
      <c r="H59" s="50"/>
      <c r="I59" s="52"/>
    </row>
    <row r="60" ht="22.2" customHeight="1" spans="1:9">
      <c r="A60" s="20">
        <v>5</v>
      </c>
      <c r="B60" s="21" t="s">
        <v>25</v>
      </c>
      <c r="C60" s="23"/>
      <c r="D60" s="23"/>
      <c r="E60" s="14">
        <f>F4*0.3%</f>
        <v>60.67758</v>
      </c>
      <c r="F60" s="14">
        <f t="shared" si="11"/>
        <v>60.67758</v>
      </c>
      <c r="G60" s="49" t="s">
        <v>104</v>
      </c>
      <c r="H60" s="50"/>
      <c r="I60" s="52"/>
    </row>
    <row r="61" ht="22.2" customHeight="1" spans="1:9">
      <c r="A61" s="20">
        <v>6</v>
      </c>
      <c r="B61" s="21" t="s">
        <v>26</v>
      </c>
      <c r="C61" s="23"/>
      <c r="D61" s="23"/>
      <c r="E61" s="14">
        <f>(100*1%+400*0.7%+500*0.55%+4000*0.35%+5000*0.2%+(F4-10000)*0.05%)+100*1.5%+(E57-100)*0.8%+100*1.5%+(E59-100)*0.8%+100*1%+(E62-100)*0.8%</f>
        <v>43.528503298432</v>
      </c>
      <c r="F61" s="14">
        <f t="shared" si="11"/>
        <v>43.528503298432</v>
      </c>
      <c r="G61" s="51" t="s">
        <v>105</v>
      </c>
      <c r="H61" s="50"/>
      <c r="I61" s="52"/>
    </row>
    <row r="62" ht="22.2" customHeight="1" spans="1:9">
      <c r="A62" s="20">
        <v>7</v>
      </c>
      <c r="B62" s="21" t="s">
        <v>27</v>
      </c>
      <c r="C62" s="23"/>
      <c r="D62" s="23"/>
      <c r="E62" s="14">
        <v>146</v>
      </c>
      <c r="F62" s="14">
        <f t="shared" si="11"/>
        <v>146</v>
      </c>
      <c r="G62" s="49" t="s">
        <v>103</v>
      </c>
      <c r="H62" s="50"/>
      <c r="I62" s="52"/>
    </row>
    <row r="63" ht="22.2" customHeight="1" spans="1:9">
      <c r="A63" s="20">
        <v>8</v>
      </c>
      <c r="B63" s="21" t="s">
        <v>28</v>
      </c>
      <c r="C63" s="23"/>
      <c r="D63" s="23"/>
      <c r="E63" s="14">
        <f>F4*0.1%</f>
        <v>20.22586</v>
      </c>
      <c r="F63" s="14">
        <f t="shared" si="11"/>
        <v>20.22586</v>
      </c>
      <c r="G63" s="49" t="s">
        <v>106</v>
      </c>
      <c r="H63" s="50"/>
      <c r="I63" s="52"/>
    </row>
    <row r="64" ht="22.2" customHeight="1" spans="1:9">
      <c r="A64" s="20">
        <v>9</v>
      </c>
      <c r="B64" s="21" t="s">
        <v>29</v>
      </c>
      <c r="C64" s="23"/>
      <c r="D64" s="23"/>
      <c r="E64" s="14">
        <f>G4*105/10000*0.5</f>
        <v>170.012955</v>
      </c>
      <c r="F64" s="14">
        <f t="shared" si="11"/>
        <v>170.012955</v>
      </c>
      <c r="G64" s="49" t="s">
        <v>107</v>
      </c>
      <c r="H64" s="50"/>
      <c r="I64" s="52"/>
    </row>
    <row r="65" ht="24.75" customHeight="1" spans="1:9">
      <c r="A65" s="20">
        <v>10</v>
      </c>
      <c r="B65" s="21" t="s">
        <v>30</v>
      </c>
      <c r="C65" s="23"/>
      <c r="D65" s="23"/>
      <c r="E65" s="14">
        <f>G4*1.2/10000+F7*1%</f>
        <v>7.5322954</v>
      </c>
      <c r="F65" s="14">
        <f t="shared" si="11"/>
        <v>7.5322954</v>
      </c>
      <c r="G65" s="49" t="s">
        <v>108</v>
      </c>
      <c r="H65" s="50"/>
      <c r="I65" s="52"/>
    </row>
    <row r="66" ht="22.5" customHeight="1" spans="1:9">
      <c r="A66" s="20">
        <v>11</v>
      </c>
      <c r="B66" s="21" t="s">
        <v>31</v>
      </c>
      <c r="C66" s="23"/>
      <c r="D66" s="23"/>
      <c r="E66" s="14">
        <f>F4*1%</f>
        <v>202.2586</v>
      </c>
      <c r="F66" s="14">
        <f t="shared" ref="F66" si="12">C66+D66+E66</f>
        <v>202.2586</v>
      </c>
      <c r="G66" s="49" t="s">
        <v>109</v>
      </c>
      <c r="H66" s="50"/>
      <c r="I66" s="52"/>
    </row>
    <row r="67" ht="22.2" customHeight="1" spans="1:12">
      <c r="A67" s="20">
        <v>12</v>
      </c>
      <c r="B67" s="21" t="s">
        <v>32</v>
      </c>
      <c r="C67" s="23"/>
      <c r="D67" s="23"/>
      <c r="E67" s="14">
        <f>G4*1.2/10000</f>
        <v>3.8860104</v>
      </c>
      <c r="F67" s="14">
        <f t="shared" si="11"/>
        <v>3.8860104</v>
      </c>
      <c r="G67" s="49" t="s">
        <v>110</v>
      </c>
      <c r="H67" s="50"/>
      <c r="I67" s="52"/>
      <c r="L67" s="25"/>
    </row>
    <row r="68" ht="22.2" customHeight="1" spans="1:9">
      <c r="A68" s="20">
        <v>13</v>
      </c>
      <c r="B68" s="21" t="s">
        <v>33</v>
      </c>
      <c r="C68" s="23"/>
      <c r="D68" s="23"/>
      <c r="E68" s="14">
        <f>G4*1/10000</f>
        <v>3.238342</v>
      </c>
      <c r="F68" s="14">
        <f t="shared" si="11"/>
        <v>3.238342</v>
      </c>
      <c r="G68" s="49" t="s">
        <v>111</v>
      </c>
      <c r="H68" s="50"/>
      <c r="I68" s="52"/>
    </row>
    <row r="69" ht="22.2" customHeight="1" spans="1:9">
      <c r="A69" s="20">
        <v>14</v>
      </c>
      <c r="B69" s="21" t="s">
        <v>34</v>
      </c>
      <c r="C69" s="23"/>
      <c r="D69" s="23"/>
      <c r="E69" s="14">
        <f>190*2500/10000</f>
        <v>47.5</v>
      </c>
      <c r="F69" s="14">
        <f t="shared" ref="F69" si="13">C69+D69+E69</f>
        <v>47.5</v>
      </c>
      <c r="G69" s="49" t="s">
        <v>112</v>
      </c>
      <c r="H69" s="50"/>
      <c r="I69" s="52"/>
    </row>
    <row r="70" ht="22.2" customHeight="1" spans="1:9">
      <c r="A70" s="20">
        <v>15</v>
      </c>
      <c r="B70" s="21" t="s">
        <v>35</v>
      </c>
      <c r="C70" s="23"/>
      <c r="D70" s="23"/>
      <c r="E70" s="14">
        <v>10</v>
      </c>
      <c r="F70" s="14">
        <f t="shared" ref="F70:F74" si="14">C70+D70+E70</f>
        <v>10</v>
      </c>
      <c r="G70" s="49" t="s">
        <v>113</v>
      </c>
      <c r="H70" s="50"/>
      <c r="I70" s="52"/>
    </row>
    <row r="71" ht="22.2" customHeight="1" spans="1:9">
      <c r="A71" s="20">
        <v>16</v>
      </c>
      <c r="B71" s="21" t="s">
        <v>36</v>
      </c>
      <c r="C71" s="23"/>
      <c r="D71" s="23"/>
      <c r="E71" s="14">
        <v>10</v>
      </c>
      <c r="F71" s="14">
        <f t="shared" si="14"/>
        <v>10</v>
      </c>
      <c r="G71" s="49" t="s">
        <v>113</v>
      </c>
      <c r="H71" s="50"/>
      <c r="I71" s="52"/>
    </row>
    <row r="72" ht="22.2" customHeight="1" spans="1:9">
      <c r="A72" s="20">
        <v>17</v>
      </c>
      <c r="B72" s="21" t="s">
        <v>37</v>
      </c>
      <c r="C72" s="23"/>
      <c r="D72" s="23"/>
      <c r="E72" s="14">
        <f>F4*0.1%</f>
        <v>20.22586</v>
      </c>
      <c r="F72" s="14">
        <f t="shared" si="14"/>
        <v>20.22586</v>
      </c>
      <c r="G72" s="49" t="s">
        <v>106</v>
      </c>
      <c r="H72" s="50"/>
      <c r="I72" s="52"/>
    </row>
    <row r="73" ht="22.2" customHeight="1" spans="1:9">
      <c r="A73" s="20">
        <v>18</v>
      </c>
      <c r="B73" s="21" t="s">
        <v>38</v>
      </c>
      <c r="C73" s="23"/>
      <c r="D73" s="23"/>
      <c r="E73" s="14">
        <v>3</v>
      </c>
      <c r="F73" s="14">
        <f t="shared" si="14"/>
        <v>3</v>
      </c>
      <c r="G73" s="49" t="s">
        <v>113</v>
      </c>
      <c r="H73" s="50"/>
      <c r="I73" s="52"/>
    </row>
    <row r="74" ht="22.2" customHeight="1" spans="1:9">
      <c r="A74" s="20">
        <v>19</v>
      </c>
      <c r="B74" s="21" t="s">
        <v>39</v>
      </c>
      <c r="C74" s="23"/>
      <c r="D74" s="23"/>
      <c r="E74" s="14">
        <f>ROUND((2.25+0.175*7)*0.7,2)</f>
        <v>2.43</v>
      </c>
      <c r="F74" s="14">
        <f t="shared" si="14"/>
        <v>2.43</v>
      </c>
      <c r="G74" s="49" t="s">
        <v>114</v>
      </c>
      <c r="H74" s="50"/>
      <c r="I74" s="52"/>
    </row>
    <row r="75" ht="22.2" customHeight="1" spans="1:9">
      <c r="A75" s="23"/>
      <c r="B75" s="21"/>
      <c r="C75" s="23"/>
      <c r="D75" s="23"/>
      <c r="E75" s="23"/>
      <c r="F75" s="14"/>
      <c r="G75" s="49"/>
      <c r="H75" s="50"/>
      <c r="I75" s="52"/>
    </row>
    <row r="76" ht="22.2" customHeight="1" spans="1:9">
      <c r="A76" s="7" t="s">
        <v>40</v>
      </c>
      <c r="B76" s="8" t="s">
        <v>115</v>
      </c>
      <c r="C76" s="14"/>
      <c r="D76" s="14"/>
      <c r="E76" s="14"/>
      <c r="F76" s="9">
        <f>F77</f>
        <v>439.21</v>
      </c>
      <c r="G76" s="14"/>
      <c r="H76" s="20"/>
      <c r="I76" s="14"/>
    </row>
    <row r="77" ht="22.2" customHeight="1" spans="1:9">
      <c r="A77" s="20">
        <v>1</v>
      </c>
      <c r="B77" s="21" t="s">
        <v>116</v>
      </c>
      <c r="C77" s="14"/>
      <c r="D77" s="14"/>
      <c r="E77" s="14"/>
      <c r="F77" s="14">
        <f>ROUND(((F55+F4)*G77),2)</f>
        <v>439.21</v>
      </c>
      <c r="G77" s="53">
        <v>0.02</v>
      </c>
      <c r="H77" s="54"/>
      <c r="I77" s="55"/>
    </row>
    <row r="78" ht="22.2" customHeight="1" spans="1:9">
      <c r="A78" s="23"/>
      <c r="B78" s="23"/>
      <c r="C78" s="23"/>
      <c r="D78" s="23"/>
      <c r="E78" s="23"/>
      <c r="F78" s="14"/>
      <c r="G78" s="23"/>
      <c r="H78" s="23"/>
      <c r="I78" s="23"/>
    </row>
    <row r="79" ht="22.2" customHeight="1" spans="1:9">
      <c r="A79" s="7" t="s">
        <v>42</v>
      </c>
      <c r="B79" s="8" t="s">
        <v>117</v>
      </c>
      <c r="C79" s="14"/>
      <c r="D79" s="14"/>
      <c r="E79" s="14"/>
      <c r="F79" s="9">
        <f>ROUND((F76+F55+F4),2)</f>
        <v>22399.61</v>
      </c>
      <c r="G79" s="9">
        <f>G4</f>
        <v>32383.42</v>
      </c>
      <c r="H79" s="7" t="s">
        <v>56</v>
      </c>
      <c r="I79" s="9">
        <f>F79*10000/G79</f>
        <v>6916.99950159681</v>
      </c>
    </row>
    <row r="83" spans="7:7">
      <c r="G83" s="25"/>
    </row>
    <row r="90" spans="7:7">
      <c r="G90">
        <v>22669.11</v>
      </c>
    </row>
  </sheetData>
  <mergeCells count="26">
    <mergeCell ref="A1:I1"/>
    <mergeCell ref="C2:F2"/>
    <mergeCell ref="G2:I2"/>
    <mergeCell ref="G56:I56"/>
    <mergeCell ref="G57:I57"/>
    <mergeCell ref="G58:I58"/>
    <mergeCell ref="G59:I59"/>
    <mergeCell ref="G60:I60"/>
    <mergeCell ref="G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7:I77"/>
    <mergeCell ref="A2:A3"/>
    <mergeCell ref="B2:B3"/>
  </mergeCells>
  <pageMargins left="0.78740157480315" right="0.708661417322835" top="0.748031496062992" bottom="0.748031496062992" header="0.31496062992126" footer="0.31496062992126"/>
  <pageSetup paperSize="9" scale="4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view="pageBreakPreview" zoomScaleNormal="100" workbookViewId="0">
      <pane ySplit="3" topLeftCell="A4" activePane="bottomLeft" state="frozen"/>
      <selection/>
      <selection pane="bottomLeft" activeCell="G55" sqref="G55"/>
    </sheetView>
  </sheetViews>
  <sheetFormatPr defaultColWidth="9" defaultRowHeight="14.4"/>
  <cols>
    <col min="1" max="1" width="6.22222222222222" customWidth="1"/>
    <col min="2" max="2" width="23.2222222222222" customWidth="1"/>
    <col min="3" max="3" width="16" customWidth="1"/>
    <col min="4" max="4" width="11" customWidth="1"/>
    <col min="5" max="5" width="7" customWidth="1"/>
    <col min="6" max="6" width="10" customWidth="1"/>
    <col min="7" max="7" width="12.2222222222222" customWidth="1"/>
    <col min="8" max="8" width="5.77777777777778" customWidth="1"/>
    <col min="9" max="9" width="15.7777777777778" customWidth="1"/>
  </cols>
  <sheetData>
    <row r="1" ht="27" customHeight="1" spans="1:9">
      <c r="A1" s="34" t="s">
        <v>118</v>
      </c>
      <c r="B1" s="34"/>
      <c r="C1" s="34"/>
      <c r="D1" s="34"/>
      <c r="E1" s="34"/>
      <c r="F1" s="34"/>
      <c r="G1" s="34"/>
      <c r="H1" s="34"/>
      <c r="I1" s="34"/>
    </row>
    <row r="2" ht="24" customHeight="1" spans="1:9">
      <c r="A2" s="2" t="s">
        <v>1</v>
      </c>
      <c r="B2" s="3" t="s">
        <v>2</v>
      </c>
      <c r="C2" s="3" t="s">
        <v>45</v>
      </c>
      <c r="D2" s="3"/>
      <c r="E2" s="3"/>
      <c r="F2" s="3"/>
      <c r="G2" s="2" t="s">
        <v>46</v>
      </c>
      <c r="H2" s="2"/>
      <c r="I2" s="2"/>
    </row>
    <row r="3" ht="33" customHeight="1" spans="1:9">
      <c r="A3" s="2"/>
      <c r="B3" s="3"/>
      <c r="C3" s="3" t="s">
        <v>47</v>
      </c>
      <c r="D3" s="3" t="s">
        <v>48</v>
      </c>
      <c r="E3" s="3" t="s">
        <v>49</v>
      </c>
      <c r="F3" s="3" t="s">
        <v>50</v>
      </c>
      <c r="G3" s="2" t="s">
        <v>51</v>
      </c>
      <c r="H3" s="2" t="s">
        <v>52</v>
      </c>
      <c r="I3" s="6" t="s">
        <v>119</v>
      </c>
    </row>
    <row r="4" ht="22.2" customHeight="1" spans="1:9">
      <c r="A4" s="35">
        <v>1</v>
      </c>
      <c r="B4" s="36" t="s">
        <v>7</v>
      </c>
      <c r="C4" s="38">
        <f>'概算汇总表（详细）'!C5</f>
        <v>4014.69</v>
      </c>
      <c r="D4" s="38"/>
      <c r="E4" s="39"/>
      <c r="F4" s="39">
        <f>C4</f>
        <v>4014.69</v>
      </c>
      <c r="G4" s="39">
        <f>'概算汇总表（详细）'!G5</f>
        <v>5074.74</v>
      </c>
      <c r="H4" s="40" t="s">
        <v>55</v>
      </c>
      <c r="I4" s="42">
        <f>'概算汇总表（详细）'!I5</f>
        <v>7911.12451081238</v>
      </c>
    </row>
    <row r="5" ht="22.2" customHeight="1" spans="1:9">
      <c r="A5" s="35">
        <v>1.1</v>
      </c>
      <c r="B5" s="36" t="str">
        <f>'概算汇总表（详细）'!B7</f>
        <v>基坑支护工程</v>
      </c>
      <c r="C5" s="38">
        <f>'概算汇总表（详细）'!C7</f>
        <v>364.6285</v>
      </c>
      <c r="D5" s="38"/>
      <c r="E5" s="39"/>
      <c r="F5" s="39">
        <f>C5</f>
        <v>364.6285</v>
      </c>
      <c r="G5" s="39">
        <f>'概算汇总表（详细）'!G6</f>
        <v>5074.74</v>
      </c>
      <c r="H5" s="40" t="s">
        <v>55</v>
      </c>
      <c r="I5" s="42">
        <f>F5*10000/G5</f>
        <v>718.516613659025</v>
      </c>
    </row>
    <row r="6" ht="22.2" customHeight="1" spans="1:9">
      <c r="A6" s="35">
        <v>1.2</v>
      </c>
      <c r="B6" s="36" t="str">
        <f>'概算汇总表（详细）'!B8</f>
        <v>土石方工程</v>
      </c>
      <c r="C6" s="38">
        <f>'概算汇总表（详细）'!C8</f>
        <v>281.7374</v>
      </c>
      <c r="D6" s="38"/>
      <c r="E6" s="39"/>
      <c r="F6" s="39">
        <f>C6</f>
        <v>281.7374</v>
      </c>
      <c r="G6" s="39">
        <f>'概算汇总表（详细）'!G8</f>
        <v>53176.14</v>
      </c>
      <c r="H6" s="40" t="s">
        <v>120</v>
      </c>
      <c r="I6" s="42">
        <f t="shared" ref="I6:I8" si="0">F6*10000/G6</f>
        <v>52.9819200867156</v>
      </c>
    </row>
    <row r="7" ht="22.2" customHeight="1" spans="1:9">
      <c r="A7" s="35">
        <v>1.3</v>
      </c>
      <c r="B7" s="36" t="str">
        <f>'概算汇总表（详细）'!B9</f>
        <v>桩基工程</v>
      </c>
      <c r="C7" s="38">
        <f>'概算汇总表（详细）'!C9</f>
        <v>682.7741</v>
      </c>
      <c r="D7" s="38"/>
      <c r="E7" s="39"/>
      <c r="F7" s="39">
        <f>C7</f>
        <v>682.7741</v>
      </c>
      <c r="G7" s="39">
        <f>'概算汇总表（详细）'!G9</f>
        <v>32383.42</v>
      </c>
      <c r="H7" s="40" t="s">
        <v>55</v>
      </c>
      <c r="I7" s="42">
        <f t="shared" si="0"/>
        <v>210.84064005593</v>
      </c>
    </row>
    <row r="8" ht="22.2" customHeight="1" spans="1:9">
      <c r="A8" s="35">
        <v>1.4</v>
      </c>
      <c r="B8" s="36" t="s">
        <v>8</v>
      </c>
      <c r="C8" s="38">
        <f>'概算汇总表（详细）'!C10</f>
        <v>2079.3885</v>
      </c>
      <c r="D8" s="38"/>
      <c r="E8" s="39"/>
      <c r="F8" s="39">
        <f>C8</f>
        <v>2079.3885</v>
      </c>
      <c r="G8" s="39">
        <f>G4</f>
        <v>5074.74</v>
      </c>
      <c r="H8" s="40" t="s">
        <v>55</v>
      </c>
      <c r="I8" s="42">
        <f t="shared" si="0"/>
        <v>4097.52716395323</v>
      </c>
    </row>
    <row r="9" ht="22.2" customHeight="1" spans="1:9">
      <c r="A9" s="35">
        <v>1.5</v>
      </c>
      <c r="B9" s="36" t="s">
        <v>9</v>
      </c>
      <c r="C9" s="38">
        <f>'概算汇总表（详细）'!C11</f>
        <v>606.16</v>
      </c>
      <c r="D9" s="38"/>
      <c r="E9" s="39"/>
      <c r="F9" s="39"/>
      <c r="G9" s="39">
        <f>G4</f>
        <v>5074.74</v>
      </c>
      <c r="H9" s="40" t="s">
        <v>55</v>
      </c>
      <c r="I9" s="42">
        <f>C9*10000/G9</f>
        <v>1194.46513515963</v>
      </c>
    </row>
    <row r="10" ht="22.2" customHeight="1" spans="1:9">
      <c r="A10" s="43" t="s">
        <v>121</v>
      </c>
      <c r="B10" s="44" t="s">
        <v>67</v>
      </c>
      <c r="C10" s="45">
        <f>'概算汇总表（详细）'!C12</f>
        <v>155.3692</v>
      </c>
      <c r="D10" s="45"/>
      <c r="E10" s="46"/>
      <c r="F10" s="46"/>
      <c r="G10" s="39">
        <f>G5</f>
        <v>5074.74</v>
      </c>
      <c r="H10" s="40" t="s">
        <v>55</v>
      </c>
      <c r="I10" s="4">
        <f>C10*10000/G10</f>
        <v>306.161892037819</v>
      </c>
    </row>
    <row r="11" ht="22.2" customHeight="1" spans="1:9">
      <c r="A11" s="43" t="s">
        <v>122</v>
      </c>
      <c r="B11" s="44" t="s">
        <v>123</v>
      </c>
      <c r="C11" s="45">
        <f>'概算汇总表（详细）'!C13</f>
        <v>105.1921</v>
      </c>
      <c r="D11" s="45"/>
      <c r="E11" s="46"/>
      <c r="F11" s="46"/>
      <c r="G11" s="39">
        <f>G4</f>
        <v>5074.74</v>
      </c>
      <c r="H11" s="40" t="s">
        <v>55</v>
      </c>
      <c r="I11" s="4">
        <f t="shared" ref="I11:I13" si="1">C11*10000/G11</f>
        <v>207.285693454246</v>
      </c>
    </row>
    <row r="12" ht="22.2" customHeight="1" spans="1:9">
      <c r="A12" s="43" t="s">
        <v>124</v>
      </c>
      <c r="B12" s="44" t="s">
        <v>71</v>
      </c>
      <c r="C12" s="45">
        <f>'概算汇总表（详细）'!C14</f>
        <v>139.4002</v>
      </c>
      <c r="D12" s="45"/>
      <c r="E12" s="46"/>
      <c r="F12" s="46"/>
      <c r="G12" s="39">
        <f>G5</f>
        <v>5074.74</v>
      </c>
      <c r="H12" s="40" t="s">
        <v>55</v>
      </c>
      <c r="I12" s="4">
        <f t="shared" si="1"/>
        <v>274.694270051274</v>
      </c>
    </row>
    <row r="13" ht="22.2" customHeight="1" spans="1:9">
      <c r="A13" s="43" t="s">
        <v>125</v>
      </c>
      <c r="B13" s="44" t="s">
        <v>73</v>
      </c>
      <c r="C13" s="45">
        <f>'概算汇总表（详细）'!C15</f>
        <v>206.202</v>
      </c>
      <c r="D13" s="45"/>
      <c r="E13" s="46"/>
      <c r="F13" s="46"/>
      <c r="G13" s="39">
        <f>G9</f>
        <v>5074.74</v>
      </c>
      <c r="H13" s="40" t="s">
        <v>55</v>
      </c>
      <c r="I13" s="4">
        <f t="shared" si="1"/>
        <v>406.330176521359</v>
      </c>
    </row>
    <row r="20" spans="3:3">
      <c r="C20" s="47"/>
    </row>
  </sheetData>
  <mergeCells count="5">
    <mergeCell ref="A1:I1"/>
    <mergeCell ref="C2:F2"/>
    <mergeCell ref="G2:I2"/>
    <mergeCell ref="A2:A3"/>
    <mergeCell ref="B2:B3"/>
  </mergeCells>
  <pageMargins left="0.708661417322835" right="0" top="0.748031496062992" bottom="0.748031496062992" header="0.31496062992126" footer="0.31496062992126"/>
  <pageSetup paperSize="9" scale="8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
  <sheetViews>
    <sheetView view="pageBreakPreview" zoomScaleNormal="100" workbookViewId="0">
      <pane ySplit="3" topLeftCell="A22" activePane="bottomLeft" state="frozen"/>
      <selection/>
      <selection pane="bottomLeft" activeCell="G55" sqref="G55"/>
    </sheetView>
  </sheetViews>
  <sheetFormatPr defaultColWidth="9" defaultRowHeight="14.4"/>
  <cols>
    <col min="1" max="1" width="6.22222222222222" customWidth="1"/>
    <col min="2" max="2" width="23.2222222222222" customWidth="1"/>
    <col min="3" max="3" width="16" customWidth="1"/>
    <col min="4" max="4" width="11" customWidth="1"/>
    <col min="5" max="5" width="7" customWidth="1"/>
    <col min="6" max="6" width="11.5555555555556" customWidth="1"/>
    <col min="7" max="7" width="12.2222222222222" customWidth="1"/>
    <col min="8" max="8" width="5.77777777777778" customWidth="1"/>
    <col min="9" max="9" width="15.4444444444444" customWidth="1"/>
  </cols>
  <sheetData>
    <row r="1" ht="27" customHeight="1" spans="1:9">
      <c r="A1" s="34" t="s">
        <v>126</v>
      </c>
      <c r="B1" s="34"/>
      <c r="C1" s="34"/>
      <c r="D1" s="34"/>
      <c r="E1" s="34"/>
      <c r="F1" s="34"/>
      <c r="G1" s="34"/>
      <c r="H1" s="34"/>
      <c r="I1" s="34"/>
    </row>
    <row r="2" ht="24" customHeight="1" spans="1:9">
      <c r="A2" s="2" t="s">
        <v>1</v>
      </c>
      <c r="B2" s="3" t="s">
        <v>2</v>
      </c>
      <c r="C2" s="3" t="s">
        <v>45</v>
      </c>
      <c r="D2" s="3"/>
      <c r="E2" s="3"/>
      <c r="F2" s="3"/>
      <c r="G2" s="2" t="s">
        <v>46</v>
      </c>
      <c r="H2" s="2"/>
      <c r="I2" s="2"/>
    </row>
    <row r="3" ht="36.75" customHeight="1" spans="1:9">
      <c r="A3" s="2"/>
      <c r="B3" s="3"/>
      <c r="C3" s="3" t="s">
        <v>47</v>
      </c>
      <c r="D3" s="3" t="s">
        <v>48</v>
      </c>
      <c r="E3" s="3" t="s">
        <v>49</v>
      </c>
      <c r="F3" s="3" t="s">
        <v>50</v>
      </c>
      <c r="G3" s="2" t="s">
        <v>51</v>
      </c>
      <c r="H3" s="2" t="s">
        <v>52</v>
      </c>
      <c r="I3" s="6" t="s">
        <v>119</v>
      </c>
    </row>
    <row r="4" ht="22.2" customHeight="1" spans="1:9">
      <c r="A4" s="35"/>
      <c r="B4" s="36" t="s">
        <v>127</v>
      </c>
      <c r="C4" s="37">
        <f>ROUND(C5+C14+C22+C26+C29+C30,2)</f>
        <v>14391.04</v>
      </c>
      <c r="D4" s="38">
        <f>ROUND(D5+D14,2)</f>
        <v>120</v>
      </c>
      <c r="E4" s="39"/>
      <c r="F4" s="39">
        <f>C4+D4</f>
        <v>14511.04</v>
      </c>
      <c r="G4" s="39">
        <f>G5+G14</f>
        <v>27308.68</v>
      </c>
      <c r="H4" s="40" t="s">
        <v>55</v>
      </c>
      <c r="I4" s="42">
        <f>F4*10000/G4</f>
        <v>5313.70978018711</v>
      </c>
    </row>
    <row r="5" ht="22.2" customHeight="1" spans="1:9">
      <c r="A5" s="11">
        <v>2</v>
      </c>
      <c r="B5" s="8" t="s">
        <v>10</v>
      </c>
      <c r="C5" s="9">
        <f>ROUND((C6+C7+C13),2)</f>
        <v>7846.98</v>
      </c>
      <c r="D5" s="9">
        <f>D7</f>
        <v>90</v>
      </c>
      <c r="E5" s="9"/>
      <c r="F5" s="9">
        <f>C5+D5+E5</f>
        <v>7936.98</v>
      </c>
      <c r="G5" s="9">
        <f>'概算汇总表（详细）'!G16</f>
        <v>22606.26</v>
      </c>
      <c r="H5" s="7" t="s">
        <v>56</v>
      </c>
      <c r="I5" s="9">
        <f>F5*10000/G5</f>
        <v>3510.9655467114</v>
      </c>
    </row>
    <row r="6" ht="22.2" customHeight="1" spans="1:9">
      <c r="A6" s="12">
        <v>2.1</v>
      </c>
      <c r="B6" s="13" t="s">
        <v>8</v>
      </c>
      <c r="C6" s="14">
        <f>'概算汇总表（详细）'!F17</f>
        <v>6244.8058</v>
      </c>
      <c r="D6" s="14"/>
      <c r="E6" s="14"/>
      <c r="F6" s="14">
        <f t="shared" ref="F6:F14" si="0">C6+D6+E6</f>
        <v>6244.8058</v>
      </c>
      <c r="G6" s="14">
        <f>G5</f>
        <v>22606.26</v>
      </c>
      <c r="H6" s="20" t="s">
        <v>59</v>
      </c>
      <c r="I6" s="14">
        <f>F6*10000/G6</f>
        <v>2762.42324028831</v>
      </c>
    </row>
    <row r="7" ht="22.2" customHeight="1" spans="1:9">
      <c r="A7" s="12">
        <v>2.2</v>
      </c>
      <c r="B7" s="13" t="s">
        <v>9</v>
      </c>
      <c r="C7" s="14">
        <f>ROUND((C8+C9+C10+C11+C12),2)</f>
        <v>1502.17</v>
      </c>
      <c r="D7" s="14">
        <f>D12</f>
        <v>90</v>
      </c>
      <c r="E7" s="14"/>
      <c r="F7" s="14">
        <f t="shared" si="0"/>
        <v>1592.17</v>
      </c>
      <c r="G7" s="14">
        <f>G5</f>
        <v>22606.26</v>
      </c>
      <c r="H7" s="20" t="s">
        <v>59</v>
      </c>
      <c r="I7" s="14">
        <f t="shared" ref="I7:I12" si="1">F7*10000/G7</f>
        <v>704.304913771672</v>
      </c>
    </row>
    <row r="8" ht="22.2" customHeight="1" spans="1:9">
      <c r="A8" s="12" t="s">
        <v>74</v>
      </c>
      <c r="B8" s="16" t="s">
        <v>67</v>
      </c>
      <c r="C8" s="14">
        <f>'概算汇总表（详细）'!F19</f>
        <v>265.7222</v>
      </c>
      <c r="D8" s="14"/>
      <c r="E8" s="14"/>
      <c r="F8" s="14">
        <f t="shared" si="0"/>
        <v>265.7222</v>
      </c>
      <c r="G8" s="14">
        <f>G5</f>
        <v>22606.26</v>
      </c>
      <c r="H8" s="20" t="s">
        <v>59</v>
      </c>
      <c r="I8" s="14">
        <f t="shared" si="1"/>
        <v>117.543636143263</v>
      </c>
    </row>
    <row r="9" ht="22.2" customHeight="1" spans="1:9">
      <c r="A9" s="12" t="s">
        <v>75</v>
      </c>
      <c r="B9" s="16" t="s">
        <v>123</v>
      </c>
      <c r="C9" s="14">
        <f>'概算汇总表（详细）'!F20</f>
        <v>358.2688</v>
      </c>
      <c r="D9" s="14"/>
      <c r="E9" s="14"/>
      <c r="F9" s="14">
        <f t="shared" si="0"/>
        <v>358.2688</v>
      </c>
      <c r="G9" s="14">
        <f>G5</f>
        <v>22606.26</v>
      </c>
      <c r="H9" s="20" t="s">
        <v>59</v>
      </c>
      <c r="I9" s="14">
        <f t="shared" si="1"/>
        <v>158.482119554495</v>
      </c>
    </row>
    <row r="10" ht="22.2" customHeight="1" spans="1:11">
      <c r="A10" s="12" t="s">
        <v>76</v>
      </c>
      <c r="B10" s="16" t="s">
        <v>128</v>
      </c>
      <c r="C10" s="14">
        <f>'概算汇总表（详细）'!F21</f>
        <v>198.3925</v>
      </c>
      <c r="D10" s="14"/>
      <c r="E10" s="14"/>
      <c r="F10" s="14">
        <f t="shared" si="0"/>
        <v>198.3925</v>
      </c>
      <c r="G10" s="14">
        <f>G5</f>
        <v>22606.26</v>
      </c>
      <c r="H10" s="20" t="s">
        <v>59</v>
      </c>
      <c r="I10" s="14">
        <f t="shared" si="1"/>
        <v>87.7599832966621</v>
      </c>
      <c r="K10" s="25"/>
    </row>
    <row r="11" ht="22.2" customHeight="1" spans="1:9">
      <c r="A11" s="12" t="s">
        <v>78</v>
      </c>
      <c r="B11" s="16" t="s">
        <v>73</v>
      </c>
      <c r="C11" s="14">
        <f>'概算汇总表（详细）'!F22</f>
        <v>679.788</v>
      </c>
      <c r="D11" s="14"/>
      <c r="E11" s="14"/>
      <c r="F11" s="14">
        <f t="shared" si="0"/>
        <v>679.788</v>
      </c>
      <c r="G11" s="14">
        <f>G5</f>
        <v>22606.26</v>
      </c>
      <c r="H11" s="20" t="s">
        <v>59</v>
      </c>
      <c r="I11" s="14">
        <f t="shared" si="1"/>
        <v>300.707857027213</v>
      </c>
    </row>
    <row r="12" ht="22.2" customHeight="1" spans="1:9">
      <c r="A12" s="12" t="s">
        <v>79</v>
      </c>
      <c r="B12" s="17" t="s">
        <v>80</v>
      </c>
      <c r="C12" s="14"/>
      <c r="D12" s="14">
        <v>90</v>
      </c>
      <c r="E12" s="14"/>
      <c r="F12" s="14">
        <f t="shared" si="0"/>
        <v>90</v>
      </c>
      <c r="G12" s="14">
        <f>G5</f>
        <v>22606.26</v>
      </c>
      <c r="H12" s="20" t="s">
        <v>59</v>
      </c>
      <c r="I12" s="14">
        <f t="shared" si="1"/>
        <v>39.8119812830605</v>
      </c>
    </row>
    <row r="13" ht="22.2" customHeight="1" spans="1:9">
      <c r="A13" s="12">
        <v>2.3</v>
      </c>
      <c r="B13" s="13" t="s">
        <v>11</v>
      </c>
      <c r="C13" s="14">
        <f>'概算汇总表（详细）'!F24</f>
        <v>100</v>
      </c>
      <c r="D13" s="14"/>
      <c r="E13" s="14"/>
      <c r="F13" s="14">
        <f t="shared" si="0"/>
        <v>100</v>
      </c>
      <c r="G13" s="41">
        <v>1</v>
      </c>
      <c r="H13" s="20" t="s">
        <v>81</v>
      </c>
      <c r="I13" s="14">
        <v>1000000</v>
      </c>
    </row>
    <row r="14" ht="22.2" customHeight="1" spans="1:9">
      <c r="A14" s="11">
        <v>3</v>
      </c>
      <c r="B14" s="8" t="s">
        <v>12</v>
      </c>
      <c r="C14" s="9">
        <f>ROUND((C15+C16),2)</f>
        <v>1803.33</v>
      </c>
      <c r="D14" s="9">
        <f>D16</f>
        <v>30</v>
      </c>
      <c r="E14" s="9"/>
      <c r="F14" s="9">
        <f t="shared" si="0"/>
        <v>1833.33</v>
      </c>
      <c r="G14" s="9">
        <f>'概算汇总表（详细）'!G25</f>
        <v>4702.42</v>
      </c>
      <c r="H14" s="7" t="s">
        <v>56</v>
      </c>
      <c r="I14" s="9">
        <f>F14*10000/G14</f>
        <v>3898.69471463629</v>
      </c>
    </row>
    <row r="15" ht="22.2" customHeight="1" spans="1:9">
      <c r="A15" s="12">
        <v>3.1</v>
      </c>
      <c r="B15" s="13" t="s">
        <v>8</v>
      </c>
      <c r="C15" s="14">
        <f>'概算汇总表（详细）'!F26</f>
        <v>1212.0118</v>
      </c>
      <c r="D15" s="14"/>
      <c r="E15" s="14"/>
      <c r="F15" s="14">
        <f t="shared" ref="F15:F16" si="2">C15+D15+E15</f>
        <v>1212.0118</v>
      </c>
      <c r="G15" s="14">
        <f>G14</f>
        <v>4702.42</v>
      </c>
      <c r="H15" s="20" t="s">
        <v>59</v>
      </c>
      <c r="I15" s="14">
        <f>F15*10000/G15</f>
        <v>2577.42141280447</v>
      </c>
    </row>
    <row r="16" ht="22.2" customHeight="1" spans="1:9">
      <c r="A16" s="12">
        <v>3.2</v>
      </c>
      <c r="B16" s="13" t="s">
        <v>9</v>
      </c>
      <c r="C16" s="14">
        <f>ROUND((C17+C18+C19+C20+C21),2)</f>
        <v>591.32</v>
      </c>
      <c r="D16" s="14">
        <f>D21</f>
        <v>30</v>
      </c>
      <c r="E16" s="14"/>
      <c r="F16" s="14">
        <f t="shared" si="2"/>
        <v>621.32</v>
      </c>
      <c r="G16" s="14">
        <f>G14</f>
        <v>4702.42</v>
      </c>
      <c r="H16" s="20" t="s">
        <v>59</v>
      </c>
      <c r="I16" s="14">
        <f t="shared" ref="I16:I22" si="3">F16*10000/G16</f>
        <v>1321.27712964814</v>
      </c>
    </row>
    <row r="17" ht="22.2" customHeight="1" spans="1:9">
      <c r="A17" s="12" t="s">
        <v>82</v>
      </c>
      <c r="B17" s="16" t="s">
        <v>67</v>
      </c>
      <c r="C17" s="14">
        <f>'概算汇总表（详细）'!F28</f>
        <v>86.555</v>
      </c>
      <c r="D17" s="14"/>
      <c r="E17" s="14"/>
      <c r="F17" s="14">
        <f t="shared" ref="F17:F22" si="4">C17+D17+E17</f>
        <v>86.555</v>
      </c>
      <c r="G17" s="14">
        <f>G14</f>
        <v>4702.42</v>
      </c>
      <c r="H17" s="20" t="s">
        <v>59</v>
      </c>
      <c r="I17" s="14">
        <f t="shared" si="3"/>
        <v>184.064800677098</v>
      </c>
    </row>
    <row r="18" ht="22.2" customHeight="1" spans="1:9">
      <c r="A18" s="12" t="s">
        <v>83</v>
      </c>
      <c r="B18" s="16" t="s">
        <v>123</v>
      </c>
      <c r="C18" s="14">
        <f>'概算汇总表（详细）'!F29</f>
        <v>93.6325</v>
      </c>
      <c r="D18" s="14"/>
      <c r="E18" s="14"/>
      <c r="F18" s="14">
        <f t="shared" si="4"/>
        <v>93.6325</v>
      </c>
      <c r="G18" s="14">
        <f>G14</f>
        <v>4702.42</v>
      </c>
      <c r="H18" s="20" t="s">
        <v>59</v>
      </c>
      <c r="I18" s="14">
        <f t="shared" si="3"/>
        <v>199.115561774576</v>
      </c>
    </row>
    <row r="19" ht="22.2" customHeight="1" spans="1:11">
      <c r="A19" s="12" t="s">
        <v>84</v>
      </c>
      <c r="B19" s="16" t="s">
        <v>77</v>
      </c>
      <c r="C19" s="14">
        <f>'概算汇总表（详细）'!F30</f>
        <v>241.2379</v>
      </c>
      <c r="D19" s="14"/>
      <c r="E19" s="14"/>
      <c r="F19" s="14">
        <f t="shared" si="4"/>
        <v>241.2379</v>
      </c>
      <c r="G19" s="14">
        <f>G14</f>
        <v>4702.42</v>
      </c>
      <c r="H19" s="20" t="s">
        <v>59</v>
      </c>
      <c r="I19" s="14">
        <f t="shared" si="3"/>
        <v>513.007983123583</v>
      </c>
      <c r="K19" s="25"/>
    </row>
    <row r="20" ht="22.2" customHeight="1" spans="1:9">
      <c r="A20" s="12" t="s">
        <v>85</v>
      </c>
      <c r="B20" s="16" t="s">
        <v>73</v>
      </c>
      <c r="C20" s="14">
        <f>'概算汇总表（详细）'!F31</f>
        <v>169.8906</v>
      </c>
      <c r="D20" s="14"/>
      <c r="E20" s="14"/>
      <c r="F20" s="14">
        <f t="shared" si="4"/>
        <v>169.8906</v>
      </c>
      <c r="G20" s="14">
        <f>G14</f>
        <v>4702.42</v>
      </c>
      <c r="H20" s="20" t="s">
        <v>59</v>
      </c>
      <c r="I20" s="14">
        <f t="shared" si="3"/>
        <v>361.283339216829</v>
      </c>
    </row>
    <row r="21" ht="22.2" customHeight="1" spans="1:9">
      <c r="A21" s="12" t="s">
        <v>86</v>
      </c>
      <c r="B21" s="17" t="s">
        <v>80</v>
      </c>
      <c r="C21" s="14"/>
      <c r="D21" s="14">
        <v>30</v>
      </c>
      <c r="E21" s="14"/>
      <c r="F21" s="14">
        <f t="shared" si="4"/>
        <v>30</v>
      </c>
      <c r="G21" s="14">
        <f>G14</f>
        <v>4702.42</v>
      </c>
      <c r="H21" s="20" t="s">
        <v>59</v>
      </c>
      <c r="I21" s="14">
        <f t="shared" si="3"/>
        <v>63.7969385975732</v>
      </c>
    </row>
    <row r="22" ht="22.2" customHeight="1" spans="1:9">
      <c r="A22" s="7">
        <v>4</v>
      </c>
      <c r="B22" s="8" t="s">
        <v>13</v>
      </c>
      <c r="C22" s="9">
        <f>ROUND(C23+C24+C25,2)</f>
        <v>1970.1</v>
      </c>
      <c r="D22" s="14"/>
      <c r="E22" s="14"/>
      <c r="F22" s="9">
        <f t="shared" si="4"/>
        <v>1970.1</v>
      </c>
      <c r="G22" s="9">
        <f>G23+G24+G25</f>
        <v>32383.42</v>
      </c>
      <c r="H22" s="7" t="s">
        <v>56</v>
      </c>
      <c r="I22" s="9">
        <f t="shared" si="3"/>
        <v>608.366874159678</v>
      </c>
    </row>
    <row r="23" ht="22.2" customHeight="1" spans="1:9">
      <c r="A23" s="18">
        <v>4.1</v>
      </c>
      <c r="B23" s="13" t="s">
        <v>14</v>
      </c>
      <c r="C23" s="14">
        <f>'概算汇总表（详细）'!F34</f>
        <v>185.4377</v>
      </c>
      <c r="D23" s="14"/>
      <c r="E23" s="14"/>
      <c r="F23" s="14">
        <f>C23</f>
        <v>185.4377</v>
      </c>
      <c r="G23" s="14">
        <f>'概算汇总表（详细）'!G34</f>
        <v>5074.74</v>
      </c>
      <c r="H23" s="20" t="s">
        <v>59</v>
      </c>
      <c r="I23" s="14">
        <f t="shared" ref="I23:I29" si="5">F23*10000/G23</f>
        <v>365.413203435053</v>
      </c>
    </row>
    <row r="24" ht="22.2" customHeight="1" spans="1:9">
      <c r="A24" s="18">
        <v>4.2</v>
      </c>
      <c r="B24" s="13" t="s">
        <v>10</v>
      </c>
      <c r="C24" s="14">
        <f>'概算汇总表（详细）'!F35</f>
        <v>1438.7445</v>
      </c>
      <c r="D24" s="14"/>
      <c r="E24" s="14"/>
      <c r="F24" s="14">
        <f>C24</f>
        <v>1438.7445</v>
      </c>
      <c r="G24" s="14">
        <f>G5</f>
        <v>22606.26</v>
      </c>
      <c r="H24" s="20" t="s">
        <v>59</v>
      </c>
      <c r="I24" s="14">
        <f t="shared" si="5"/>
        <v>636.43632339007</v>
      </c>
    </row>
    <row r="25" ht="22.2" customHeight="1" spans="1:9">
      <c r="A25" s="18">
        <v>4.3</v>
      </c>
      <c r="B25" s="13" t="s">
        <v>12</v>
      </c>
      <c r="C25" s="14">
        <f>'概算汇总表（详细）'!F36</f>
        <v>345.9202</v>
      </c>
      <c r="D25" s="14"/>
      <c r="E25" s="14"/>
      <c r="F25" s="14">
        <f>C25</f>
        <v>345.9202</v>
      </c>
      <c r="G25" s="14">
        <f>G14</f>
        <v>4702.42</v>
      </c>
      <c r="H25" s="20" t="s">
        <v>59</v>
      </c>
      <c r="I25" s="14">
        <f t="shared" si="5"/>
        <v>735.621658635341</v>
      </c>
    </row>
    <row r="26" ht="22.2" customHeight="1" spans="1:9">
      <c r="A26" s="11">
        <v>5</v>
      </c>
      <c r="B26" s="19" t="s">
        <v>15</v>
      </c>
      <c r="C26" s="9">
        <f>ROUND(C27+C28,2)</f>
        <v>1504.72</v>
      </c>
      <c r="D26" s="9"/>
      <c r="E26" s="9"/>
      <c r="F26" s="9">
        <f>C26+D26+E26</f>
        <v>1504.72</v>
      </c>
      <c r="G26" s="9">
        <f>G27+G28</f>
        <v>27308.68</v>
      </c>
      <c r="H26" s="7" t="s">
        <v>56</v>
      </c>
      <c r="I26" s="9">
        <f t="shared" si="5"/>
        <v>551.004296069967</v>
      </c>
    </row>
    <row r="27" ht="22.2" customHeight="1" spans="1:9">
      <c r="A27" s="12">
        <v>5.1</v>
      </c>
      <c r="B27" s="13" t="s">
        <v>10</v>
      </c>
      <c r="C27" s="14">
        <f>'概算汇总表（详细）'!C38</f>
        <v>1330.9564</v>
      </c>
      <c r="D27" s="14"/>
      <c r="E27" s="14"/>
      <c r="F27" s="14">
        <f>C27</f>
        <v>1330.9564</v>
      </c>
      <c r="G27" s="14">
        <f>G8</f>
        <v>22606.26</v>
      </c>
      <c r="H27" s="20" t="s">
        <v>59</v>
      </c>
      <c r="I27" s="14">
        <f t="shared" si="5"/>
        <v>588.755680948551</v>
      </c>
    </row>
    <row r="28" ht="22.2" customHeight="1" spans="1:9">
      <c r="A28" s="12">
        <v>5.2</v>
      </c>
      <c r="B28" s="13" t="s">
        <v>12</v>
      </c>
      <c r="C28" s="14">
        <f>'概算汇总表（详细）'!C39</f>
        <v>173.76</v>
      </c>
      <c r="D28" s="14"/>
      <c r="E28" s="14"/>
      <c r="F28" s="14">
        <f>C28</f>
        <v>173.76</v>
      </c>
      <c r="G28" s="14">
        <f>G17</f>
        <v>4702.42</v>
      </c>
      <c r="H28" s="20" t="s">
        <v>59</v>
      </c>
      <c r="I28" s="14">
        <f t="shared" si="5"/>
        <v>369.511868357144</v>
      </c>
    </row>
    <row r="29" ht="22.2" customHeight="1" spans="1:9">
      <c r="A29" s="7">
        <v>6</v>
      </c>
      <c r="B29" s="8" t="s">
        <v>16</v>
      </c>
      <c r="C29" s="9">
        <f>'概算汇总表（详细）'!C40</f>
        <v>372.4483</v>
      </c>
      <c r="D29" s="9"/>
      <c r="E29" s="9"/>
      <c r="F29" s="9">
        <f>C29</f>
        <v>372.4483</v>
      </c>
      <c r="G29" s="9">
        <v>2500</v>
      </c>
      <c r="H29" s="7" t="s">
        <v>87</v>
      </c>
      <c r="I29" s="9">
        <f t="shared" si="5"/>
        <v>1489.7932</v>
      </c>
    </row>
    <row r="30" ht="22.2" customHeight="1" spans="1:9">
      <c r="A30" s="7">
        <v>7</v>
      </c>
      <c r="B30" s="8" t="s">
        <v>17</v>
      </c>
      <c r="C30" s="9">
        <f>ROUND(C31+C32+C33+C34,2)</f>
        <v>893.46</v>
      </c>
      <c r="D30" s="14"/>
      <c r="E30" s="14"/>
      <c r="F30" s="9">
        <f>C30+D30+E30</f>
        <v>893.46</v>
      </c>
      <c r="G30" s="9"/>
      <c r="H30" s="7"/>
      <c r="I30" s="9"/>
    </row>
    <row r="31" ht="22.2" customHeight="1" spans="1:9">
      <c r="A31" s="18">
        <v>7.1</v>
      </c>
      <c r="B31" s="13" t="s">
        <v>14</v>
      </c>
      <c r="C31" s="14">
        <f>'概算汇总表（详细）'!C42</f>
        <v>53.6987</v>
      </c>
      <c r="D31" s="14"/>
      <c r="E31" s="14"/>
      <c r="F31" s="14">
        <f>C31</f>
        <v>53.6987</v>
      </c>
      <c r="G31" s="14">
        <f>'概算汇总表（详细）'!G42</f>
        <v>5074.74</v>
      </c>
      <c r="H31" s="20" t="s">
        <v>59</v>
      </c>
      <c r="I31" s="14">
        <f t="shared" ref="I31:I33" si="6">F31*10000/G31</f>
        <v>105.81566740365</v>
      </c>
    </row>
    <row r="32" ht="22.2" customHeight="1" spans="1:9">
      <c r="A32" s="18">
        <v>7.2</v>
      </c>
      <c r="B32" s="13" t="s">
        <v>10</v>
      </c>
      <c r="C32" s="14">
        <f>'概算汇总表（详细）'!C43</f>
        <v>586.6734</v>
      </c>
      <c r="D32" s="14"/>
      <c r="E32" s="14"/>
      <c r="F32" s="14">
        <f>C32</f>
        <v>586.6734</v>
      </c>
      <c r="G32" s="14">
        <f>G5</f>
        <v>22606.26</v>
      </c>
      <c r="H32" s="20" t="s">
        <v>59</v>
      </c>
      <c r="I32" s="14">
        <f t="shared" si="6"/>
        <v>259.51811577855</v>
      </c>
    </row>
    <row r="33" ht="22.2" customHeight="1" spans="1:9">
      <c r="A33" s="18">
        <v>7.3</v>
      </c>
      <c r="B33" s="13" t="s">
        <v>12</v>
      </c>
      <c r="C33" s="14">
        <f>'概算汇总表（详细）'!C44</f>
        <v>103.8655</v>
      </c>
      <c r="D33" s="14"/>
      <c r="E33" s="14"/>
      <c r="F33" s="14">
        <f>C33</f>
        <v>103.8655</v>
      </c>
      <c r="G33" s="14">
        <f>G14</f>
        <v>4702.42</v>
      </c>
      <c r="H33" s="20" t="s">
        <v>59</v>
      </c>
      <c r="I33" s="14">
        <f t="shared" si="6"/>
        <v>220.876697530208</v>
      </c>
    </row>
    <row r="34" ht="22.2" customHeight="1" spans="1:9">
      <c r="A34" s="12">
        <v>7.4</v>
      </c>
      <c r="B34" s="13" t="s">
        <v>88</v>
      </c>
      <c r="C34" s="14">
        <f>'概算汇总表（详细）'!C45</f>
        <v>149.2269</v>
      </c>
      <c r="D34" s="14"/>
      <c r="E34" s="14"/>
      <c r="F34" s="14"/>
      <c r="G34" s="14"/>
      <c r="H34" s="20"/>
      <c r="I34" s="14"/>
    </row>
  </sheetData>
  <mergeCells count="5">
    <mergeCell ref="A1:I1"/>
    <mergeCell ref="C2:F2"/>
    <mergeCell ref="G2:I2"/>
    <mergeCell ref="A2:A3"/>
    <mergeCell ref="B2:B3"/>
  </mergeCells>
  <pageMargins left="0.708661417322835" right="0" top="0.748031496062992" bottom="0.748031496062992" header="0.31496062992126" footer="0.31496062992126"/>
  <pageSetup paperSize="9" scale="8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view="pageBreakPreview" zoomScaleNormal="100" workbookViewId="0">
      <pane ySplit="3" topLeftCell="A4" activePane="bottomLeft" state="frozen"/>
      <selection/>
      <selection pane="bottomLeft" activeCell="G55" sqref="G55"/>
    </sheetView>
  </sheetViews>
  <sheetFormatPr defaultColWidth="9" defaultRowHeight="14.4"/>
  <cols>
    <col min="1" max="1" width="6.22222222222222" customWidth="1"/>
    <col min="2" max="2" width="23.2222222222222" customWidth="1"/>
    <col min="3" max="3" width="16" customWidth="1"/>
    <col min="4" max="4" width="11" customWidth="1"/>
    <col min="5" max="5" width="7" customWidth="1"/>
    <col min="6" max="6" width="11.5555555555556" customWidth="1"/>
    <col min="7" max="7" width="12.2222222222222" customWidth="1"/>
    <col min="8" max="8" width="5.77777777777778" customWidth="1"/>
    <col min="9" max="9" width="14.2222222222222" customWidth="1"/>
  </cols>
  <sheetData>
    <row r="1" ht="27" customHeight="1" spans="1:9">
      <c r="A1" s="34" t="s">
        <v>129</v>
      </c>
      <c r="B1" s="34"/>
      <c r="C1" s="34"/>
      <c r="D1" s="34"/>
      <c r="E1" s="34"/>
      <c r="F1" s="34"/>
      <c r="G1" s="34"/>
      <c r="H1" s="34"/>
      <c r="I1" s="34"/>
    </row>
    <row r="2" ht="24" customHeight="1" spans="1:9">
      <c r="A2" s="2" t="s">
        <v>1</v>
      </c>
      <c r="B2" s="3" t="s">
        <v>2</v>
      </c>
      <c r="C2" s="3" t="s">
        <v>45</v>
      </c>
      <c r="D2" s="3"/>
      <c r="E2" s="3"/>
      <c r="F2" s="3"/>
      <c r="G2" s="2" t="s">
        <v>46</v>
      </c>
      <c r="H2" s="2"/>
      <c r="I2" s="2"/>
    </row>
    <row r="3" ht="38.25" customHeight="1" spans="1:9">
      <c r="A3" s="2"/>
      <c r="B3" s="3"/>
      <c r="C3" s="3" t="s">
        <v>47</v>
      </c>
      <c r="D3" s="3" t="s">
        <v>48</v>
      </c>
      <c r="E3" s="3" t="s">
        <v>49</v>
      </c>
      <c r="F3" s="3" t="s">
        <v>50</v>
      </c>
      <c r="G3" s="2" t="s">
        <v>51</v>
      </c>
      <c r="H3" s="2" t="s">
        <v>52</v>
      </c>
      <c r="I3" s="6" t="s">
        <v>119</v>
      </c>
    </row>
    <row r="4" ht="22.2" customHeight="1" spans="1:9">
      <c r="A4" s="7">
        <v>6</v>
      </c>
      <c r="B4" s="8" t="s">
        <v>18</v>
      </c>
      <c r="C4" s="9">
        <f>ROUND((SUM(C5:C11)),2)</f>
        <v>1680.13</v>
      </c>
      <c r="D4" s="9">
        <f>D11</f>
        <v>20</v>
      </c>
      <c r="E4" s="14"/>
      <c r="F4" s="9">
        <f>C4+D4+E4</f>
        <v>1700.13</v>
      </c>
      <c r="G4" s="14"/>
      <c r="H4" s="20"/>
      <c r="I4" s="14"/>
    </row>
    <row r="5" ht="22.2" customHeight="1" spans="1:9">
      <c r="A5" s="12">
        <v>6.1</v>
      </c>
      <c r="B5" s="13" t="s">
        <v>89</v>
      </c>
      <c r="C5" s="14">
        <f>'概算汇总表（详细）'!C47</f>
        <v>837.0524</v>
      </c>
      <c r="D5" s="14"/>
      <c r="E5" s="14"/>
      <c r="F5" s="14">
        <f t="shared" ref="F5:F11" si="0">C5+D5+E5</f>
        <v>837.0524</v>
      </c>
      <c r="G5" s="14">
        <v>16200</v>
      </c>
      <c r="H5" s="20" t="s">
        <v>59</v>
      </c>
      <c r="I5" s="14">
        <f>F5*10000/G5</f>
        <v>516.699012345679</v>
      </c>
    </row>
    <row r="6" ht="22.2" customHeight="1" spans="1:9">
      <c r="A6" s="12">
        <v>6.2</v>
      </c>
      <c r="B6" s="13" t="s">
        <v>90</v>
      </c>
      <c r="C6" s="14">
        <f>'概算汇总表（详细）'!C48</f>
        <v>286.7598</v>
      </c>
      <c r="D6" s="14"/>
      <c r="E6" s="14"/>
      <c r="F6" s="14">
        <f t="shared" si="0"/>
        <v>286.7598</v>
      </c>
      <c r="G6" s="14">
        <v>13633</v>
      </c>
      <c r="H6" s="20" t="s">
        <v>59</v>
      </c>
      <c r="I6" s="14">
        <f>F6*10000/G6</f>
        <v>210.342404459767</v>
      </c>
    </row>
    <row r="7" ht="22.2" customHeight="1" spans="1:9">
      <c r="A7" s="12">
        <v>6.3</v>
      </c>
      <c r="B7" s="13" t="s">
        <v>91</v>
      </c>
      <c r="C7" s="14">
        <f>'概算汇总表（详细）'!C49</f>
        <v>278.4134</v>
      </c>
      <c r="D7" s="14"/>
      <c r="E7" s="14"/>
      <c r="F7" s="14">
        <f t="shared" si="0"/>
        <v>278.4134</v>
      </c>
      <c r="G7" s="14"/>
      <c r="H7" s="20"/>
      <c r="I7" s="14"/>
    </row>
    <row r="8" ht="22.2" customHeight="1" spans="1:9">
      <c r="A8" s="12">
        <v>6.4</v>
      </c>
      <c r="B8" s="13" t="s">
        <v>92</v>
      </c>
      <c r="C8" s="14">
        <f>'概算汇总表（详细）'!C50</f>
        <v>40.7732</v>
      </c>
      <c r="D8" s="14"/>
      <c r="E8" s="14"/>
      <c r="F8" s="14">
        <f t="shared" si="0"/>
        <v>40.7732</v>
      </c>
      <c r="G8" s="14"/>
      <c r="H8" s="20"/>
      <c r="I8" s="14"/>
    </row>
    <row r="9" ht="22.2" customHeight="1" spans="1:9">
      <c r="A9" s="12">
        <v>6.5</v>
      </c>
      <c r="B9" s="13" t="s">
        <v>93</v>
      </c>
      <c r="C9" s="14">
        <f>'概算汇总表（详细）'!C51</f>
        <v>175.5468</v>
      </c>
      <c r="D9" s="14"/>
      <c r="E9" s="14"/>
      <c r="F9" s="14">
        <f t="shared" si="0"/>
        <v>175.5468</v>
      </c>
      <c r="G9" s="14"/>
      <c r="H9" s="20"/>
      <c r="I9" s="14"/>
    </row>
    <row r="10" ht="22.2" customHeight="1" spans="1:9">
      <c r="A10" s="12">
        <v>6.6</v>
      </c>
      <c r="B10" s="13" t="s">
        <v>94</v>
      </c>
      <c r="C10" s="14">
        <f>'概算汇总表（详细）'!C52</f>
        <v>61.58</v>
      </c>
      <c r="D10" s="14"/>
      <c r="E10" s="14"/>
      <c r="F10" s="14">
        <f t="shared" si="0"/>
        <v>61.58</v>
      </c>
      <c r="G10" s="14">
        <f>'概算汇总表（详细）'!G52</f>
        <v>30789.83934</v>
      </c>
      <c r="H10" s="20" t="s">
        <v>59</v>
      </c>
      <c r="I10" s="14">
        <v>20</v>
      </c>
    </row>
    <row r="11" ht="22.2" customHeight="1" spans="1:9">
      <c r="A11" s="12">
        <v>6.7</v>
      </c>
      <c r="B11" s="13" t="s">
        <v>95</v>
      </c>
      <c r="C11" s="14"/>
      <c r="D11" s="14">
        <f>ROUND(G11*I11/10000,2)</f>
        <v>20</v>
      </c>
      <c r="E11" s="14"/>
      <c r="F11" s="14">
        <f t="shared" si="0"/>
        <v>20</v>
      </c>
      <c r="G11" s="14">
        <v>40</v>
      </c>
      <c r="H11" s="20" t="s">
        <v>96</v>
      </c>
      <c r="I11" s="14">
        <v>5000</v>
      </c>
    </row>
  </sheetData>
  <mergeCells count="5">
    <mergeCell ref="A1:I1"/>
    <mergeCell ref="C2:F2"/>
    <mergeCell ref="G2:I2"/>
    <mergeCell ref="A2:A3"/>
    <mergeCell ref="B2:B3"/>
  </mergeCells>
  <pageMargins left="0.708661417322835" right="0" top="0.748031496062992" bottom="0.748031496062992" header="0.31496062992126" footer="0.31496062992126"/>
  <pageSetup paperSize="9" scale="8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9"/>
  <sheetViews>
    <sheetView view="pageBreakPreview" zoomScaleNormal="100" workbookViewId="0">
      <pane ySplit="3" topLeftCell="A4" activePane="bottomLeft" state="frozen"/>
      <selection/>
      <selection pane="bottomLeft" activeCell="G55" sqref="G55"/>
    </sheetView>
  </sheetViews>
  <sheetFormatPr defaultColWidth="9" defaultRowHeight="14.4"/>
  <cols>
    <col min="1" max="1" width="11.4444444444444" customWidth="1"/>
    <col min="2" max="2" width="28.5555555555556" customWidth="1"/>
    <col min="3" max="3" width="15.4444444444444" customWidth="1"/>
    <col min="4" max="4" width="19" customWidth="1"/>
    <col min="5" max="5" width="16.4444444444444" customWidth="1"/>
    <col min="6" max="6" width="18.2222222222222" customWidth="1"/>
    <col min="7" max="7" width="13.2222222222222" customWidth="1"/>
    <col min="8" max="8" width="21" customWidth="1"/>
    <col min="9" max="10" width="19" customWidth="1"/>
    <col min="11" max="11" width="9.44444444444444" customWidth="1"/>
    <col min="12" max="12" width="19.4444444444444" customWidth="1"/>
  </cols>
  <sheetData>
    <row r="1" ht="27" customHeight="1" spans="1:10">
      <c r="A1" s="1" t="s">
        <v>130</v>
      </c>
      <c r="B1" s="1"/>
      <c r="C1" s="1"/>
      <c r="D1" s="1"/>
      <c r="E1" s="1"/>
      <c r="F1" s="1"/>
      <c r="G1" s="1"/>
      <c r="H1" s="1"/>
      <c r="I1" s="1"/>
      <c r="J1" s="1"/>
    </row>
    <row r="2" ht="24" customHeight="1" spans="1:10">
      <c r="A2" s="2" t="s">
        <v>1</v>
      </c>
      <c r="B2" s="3" t="s">
        <v>131</v>
      </c>
      <c r="C2" s="4" t="s">
        <v>132</v>
      </c>
      <c r="D2" s="4"/>
      <c r="E2" s="4"/>
      <c r="F2" s="2" t="s">
        <v>133</v>
      </c>
      <c r="G2" s="2"/>
      <c r="H2" s="2"/>
      <c r="I2" s="6" t="s">
        <v>134</v>
      </c>
      <c r="J2" s="6" t="s">
        <v>135</v>
      </c>
    </row>
    <row r="3" ht="29.25" customHeight="1" spans="1:10">
      <c r="A3" s="2"/>
      <c r="B3" s="3"/>
      <c r="C3" s="4" t="s">
        <v>136</v>
      </c>
      <c r="D3" s="4" t="s">
        <v>137</v>
      </c>
      <c r="E3" s="5" t="s">
        <v>138</v>
      </c>
      <c r="F3" s="2" t="s">
        <v>136</v>
      </c>
      <c r="G3" s="2" t="s">
        <v>137</v>
      </c>
      <c r="H3" s="6" t="s">
        <v>138</v>
      </c>
      <c r="I3" s="2"/>
      <c r="J3" s="2"/>
    </row>
    <row r="4" ht="22.2" customHeight="1" spans="1:11">
      <c r="A4" s="7" t="s">
        <v>54</v>
      </c>
      <c r="B4" s="8" t="s">
        <v>6</v>
      </c>
      <c r="C4" s="9">
        <f>'概算汇总表（详细）'!G4</f>
        <v>32383.42</v>
      </c>
      <c r="D4" s="9">
        <f>'概算汇总表（详细）'!F4</f>
        <v>20225.86</v>
      </c>
      <c r="E4" s="9">
        <f>'概算汇总表（详细）'!I4</f>
        <v>6245.74550804084</v>
      </c>
      <c r="F4" s="9">
        <f>F5+F16+F25</f>
        <v>32892</v>
      </c>
      <c r="G4" s="10">
        <f>G5+G16+G25+G34+G38+G47+G41+G42</f>
        <v>19363.571</v>
      </c>
      <c r="H4" s="9">
        <f>G4*10000/F4</f>
        <v>5887.01538367992</v>
      </c>
      <c r="I4" s="9">
        <f>I5+I16+I25+I34+I38+I47+I41+I42</f>
        <v>862.288400000001</v>
      </c>
      <c r="J4" s="24">
        <f>I4/G4</f>
        <v>0.0445314761414618</v>
      </c>
      <c r="K4" s="25"/>
    </row>
    <row r="5" ht="22.2" customHeight="1" spans="1:10">
      <c r="A5" s="11">
        <v>1</v>
      </c>
      <c r="B5" s="8" t="s">
        <v>7</v>
      </c>
      <c r="C5" s="9">
        <f>'概算汇总表（详细）'!G5</f>
        <v>5074.74</v>
      </c>
      <c r="D5" s="9">
        <f>'概算汇总表（详细）'!F5</f>
        <v>4014.69</v>
      </c>
      <c r="E5" s="9">
        <f t="shared" ref="E5:E10" si="0">D5*10000/C5</f>
        <v>7911.12451081238</v>
      </c>
      <c r="F5" s="9">
        <v>5217</v>
      </c>
      <c r="G5" s="10">
        <f>G6+G11</f>
        <v>2806.746</v>
      </c>
      <c r="H5" s="9">
        <f>G5*10000/F5</f>
        <v>5380</v>
      </c>
      <c r="I5" s="9">
        <f>I6+I11</f>
        <v>1207.9475</v>
      </c>
      <c r="J5" s="26">
        <f>I5/G5</f>
        <v>0.430372930076323</v>
      </c>
    </row>
    <row r="6" ht="22.2" customHeight="1" spans="1:12">
      <c r="A6" s="11">
        <v>1.1</v>
      </c>
      <c r="B6" s="8" t="s">
        <v>8</v>
      </c>
      <c r="C6" s="9">
        <f>'概算汇总表（详细）'!G6</f>
        <v>5074.74</v>
      </c>
      <c r="D6" s="9">
        <f>'概算汇总表（详细）'!F6</f>
        <v>3408.53</v>
      </c>
      <c r="E6" s="9">
        <f t="shared" si="0"/>
        <v>6716.65937565274</v>
      </c>
      <c r="F6" s="9">
        <f>F5</f>
        <v>5217</v>
      </c>
      <c r="G6" s="10">
        <f>G7+G8+G10</f>
        <v>2399.82</v>
      </c>
      <c r="H6" s="9">
        <f>G6*10000/F6</f>
        <v>4600</v>
      </c>
      <c r="I6" s="9">
        <f>D6-G6</f>
        <v>1008.71</v>
      </c>
      <c r="J6" s="26">
        <f>I6/G6</f>
        <v>0.420327357885175</v>
      </c>
      <c r="L6" s="25"/>
    </row>
    <row r="7" ht="22.2" customHeight="1" spans="1:12">
      <c r="A7" s="12" t="s">
        <v>57</v>
      </c>
      <c r="B7" s="13" t="s">
        <v>61</v>
      </c>
      <c r="C7" s="14">
        <f>'概算汇总表（详细）'!G8</f>
        <v>53176.14</v>
      </c>
      <c r="D7" s="14">
        <f>'概算汇总表（详细）'!F8</f>
        <v>281.7374</v>
      </c>
      <c r="E7" s="14">
        <f t="shared" si="0"/>
        <v>52.9819200867156</v>
      </c>
      <c r="F7" s="14">
        <v>31302</v>
      </c>
      <c r="G7" s="15">
        <f>H7*F7/10000</f>
        <v>156.51</v>
      </c>
      <c r="H7" s="14">
        <v>50</v>
      </c>
      <c r="I7" s="14">
        <f>D7-G7</f>
        <v>125.2274</v>
      </c>
      <c r="J7" s="27">
        <f>I7/G7</f>
        <v>0.800123953740975</v>
      </c>
      <c r="L7" s="25"/>
    </row>
    <row r="8" ht="22.2" customHeight="1" spans="1:10">
      <c r="A8" s="12" t="s">
        <v>60</v>
      </c>
      <c r="B8" s="13" t="s">
        <v>58</v>
      </c>
      <c r="C8" s="14">
        <f>C6</f>
        <v>5074.74</v>
      </c>
      <c r="D8" s="14">
        <f>'概算汇总表（详细）'!F7</f>
        <v>364.6285</v>
      </c>
      <c r="E8" s="14">
        <f t="shared" si="0"/>
        <v>718.516613659025</v>
      </c>
      <c r="F8" s="14">
        <f>F5</f>
        <v>5217</v>
      </c>
      <c r="G8" s="15">
        <f>H8*F8/10000</f>
        <v>313.02</v>
      </c>
      <c r="H8" s="14">
        <v>600</v>
      </c>
      <c r="I8" s="14">
        <f>D8+D9-G8</f>
        <v>734.3826</v>
      </c>
      <c r="J8" s="27">
        <f>I8/G8</f>
        <v>2.34612037569484</v>
      </c>
    </row>
    <row r="9" ht="22.2" customHeight="1" spans="1:12">
      <c r="A9" s="12" t="s">
        <v>63</v>
      </c>
      <c r="B9" s="13" t="s">
        <v>64</v>
      </c>
      <c r="C9" s="14">
        <f>'概算汇总表（详细）'!G9</f>
        <v>32383.42</v>
      </c>
      <c r="D9" s="14">
        <f>'概算汇总表（详细）'!F9</f>
        <v>682.7741</v>
      </c>
      <c r="E9" s="14">
        <f t="shared" si="0"/>
        <v>210.84064005593</v>
      </c>
      <c r="F9" s="14"/>
      <c r="G9" s="15"/>
      <c r="H9" s="14"/>
      <c r="I9" s="14"/>
      <c r="J9" s="27"/>
      <c r="L9" s="28"/>
    </row>
    <row r="10" ht="22.2" customHeight="1" spans="1:12">
      <c r="A10" s="12" t="s">
        <v>65</v>
      </c>
      <c r="B10" s="13" t="s">
        <v>8</v>
      </c>
      <c r="C10" s="14">
        <f>'概算汇总表（详细）'!G10</f>
        <v>5074.74</v>
      </c>
      <c r="D10" s="14">
        <f>'概算汇总表（详细）'!F10</f>
        <v>2079.3885</v>
      </c>
      <c r="E10" s="14">
        <f t="shared" si="0"/>
        <v>4097.52716395323</v>
      </c>
      <c r="F10" s="14">
        <f>F6</f>
        <v>5217</v>
      </c>
      <c r="G10" s="15">
        <f>H10*F10/10000</f>
        <v>1930.29</v>
      </c>
      <c r="H10" s="14">
        <v>3700</v>
      </c>
      <c r="I10" s="14">
        <f>D10-G10</f>
        <v>149.0985</v>
      </c>
      <c r="J10" s="27">
        <f t="shared" ref="J10:J15" si="1">I10/G10</f>
        <v>0.0772415025721524</v>
      </c>
      <c r="L10" s="25"/>
    </row>
    <row r="11" ht="22.2" customHeight="1" spans="1:12">
      <c r="A11" s="11">
        <v>1.2</v>
      </c>
      <c r="B11" s="8" t="s">
        <v>9</v>
      </c>
      <c r="C11" s="9">
        <f>C6</f>
        <v>5074.74</v>
      </c>
      <c r="D11" s="9">
        <f>SUM(D12:D15)</f>
        <v>606.1635</v>
      </c>
      <c r="E11" s="9">
        <f>'概算汇总表（详细）'!I11</f>
        <v>1194.46513515963</v>
      </c>
      <c r="F11" s="9">
        <f>F6</f>
        <v>5217</v>
      </c>
      <c r="G11" s="10">
        <f>G12+G13+G15+G14</f>
        <v>406.926</v>
      </c>
      <c r="H11" s="9">
        <f>G11*10000/F11</f>
        <v>780</v>
      </c>
      <c r="I11" s="9">
        <f>SUM(I12:I15)</f>
        <v>199.2375</v>
      </c>
      <c r="J11" s="26">
        <f t="shared" si="1"/>
        <v>0.489616048126686</v>
      </c>
      <c r="L11" s="29">
        <f>G11+G18+G27+H50</f>
        <v>3869.171</v>
      </c>
    </row>
    <row r="12" ht="22.2" customHeight="1" spans="1:12">
      <c r="A12" s="12" t="s">
        <v>66</v>
      </c>
      <c r="B12" s="16" t="s">
        <v>67</v>
      </c>
      <c r="C12" s="14">
        <f>C6</f>
        <v>5074.74</v>
      </c>
      <c r="D12" s="14">
        <f>'概算汇总表（详细）'!F12</f>
        <v>155.3692</v>
      </c>
      <c r="E12" s="14">
        <f>'概算汇总表（详细）'!I12</f>
        <v>306.161892037819</v>
      </c>
      <c r="F12" s="14">
        <f>F6</f>
        <v>5217</v>
      </c>
      <c r="G12" s="15">
        <f>H12*F12/10000</f>
        <v>67.821</v>
      </c>
      <c r="H12" s="14">
        <v>130</v>
      </c>
      <c r="I12" s="14">
        <f>D12-G12</f>
        <v>87.5482</v>
      </c>
      <c r="J12" s="27">
        <f t="shared" si="1"/>
        <v>1.29087155895667</v>
      </c>
      <c r="L12" s="25" t="e">
        <f>D11+D18+D27+D50+D51+#REF!+D52</f>
        <v>#REF!</v>
      </c>
    </row>
    <row r="13" ht="22.2" customHeight="1" spans="1:13">
      <c r="A13" s="12" t="s">
        <v>68</v>
      </c>
      <c r="B13" s="16" t="s">
        <v>69</v>
      </c>
      <c r="C13" s="14">
        <f>C6</f>
        <v>5074.74</v>
      </c>
      <c r="D13" s="14">
        <f>'概算汇总表（详细）'!F13</f>
        <v>105.1921</v>
      </c>
      <c r="E13" s="14">
        <f>'概算汇总表（详细）'!I13</f>
        <v>207.285693454246</v>
      </c>
      <c r="F13" s="14">
        <f>F12</f>
        <v>5217</v>
      </c>
      <c r="G13" s="15">
        <f t="shared" ref="G13:G15" si="2">H13*F13/10000</f>
        <v>104.34</v>
      </c>
      <c r="H13" s="14">
        <v>200</v>
      </c>
      <c r="I13" s="14">
        <f>D13-G13</f>
        <v>0.852099999999993</v>
      </c>
      <c r="J13" s="27">
        <f t="shared" si="1"/>
        <v>0.00816657082614523</v>
      </c>
      <c r="L13" s="25" t="e">
        <f>L11-L12</f>
        <v>#REF!</v>
      </c>
      <c r="M13" s="25"/>
    </row>
    <row r="14" ht="22.2" customHeight="1" spans="1:12">
      <c r="A14" s="12" t="s">
        <v>70</v>
      </c>
      <c r="B14" s="16" t="s">
        <v>71</v>
      </c>
      <c r="C14" s="14">
        <f>C11</f>
        <v>5074.74</v>
      </c>
      <c r="D14" s="14">
        <f>'概算汇总表（详细）'!F14</f>
        <v>139.4002</v>
      </c>
      <c r="E14" s="14">
        <f>'概算汇总表（详细）'!I14</f>
        <v>274.694270051274</v>
      </c>
      <c r="F14" s="14">
        <f>F13</f>
        <v>5217</v>
      </c>
      <c r="G14" s="15">
        <f t="shared" si="2"/>
        <v>52.17</v>
      </c>
      <c r="H14" s="14">
        <v>100</v>
      </c>
      <c r="I14" s="14">
        <f t="shared" ref="I14:I15" si="3">D14-G14</f>
        <v>87.2302</v>
      </c>
      <c r="J14" s="27">
        <f t="shared" si="1"/>
        <v>1.67203756948438</v>
      </c>
      <c r="L14" s="25"/>
    </row>
    <row r="15" ht="22.2" customHeight="1" spans="1:10">
      <c r="A15" s="12" t="s">
        <v>72</v>
      </c>
      <c r="B15" s="16" t="s">
        <v>73</v>
      </c>
      <c r="C15" s="14">
        <f>C13</f>
        <v>5074.74</v>
      </c>
      <c r="D15" s="14">
        <f>'概算汇总表（详细）'!F15</f>
        <v>206.202</v>
      </c>
      <c r="E15" s="14">
        <f>'概算汇总表（详细）'!I15</f>
        <v>406.330176521359</v>
      </c>
      <c r="F15" s="14">
        <f>F12</f>
        <v>5217</v>
      </c>
      <c r="G15" s="15">
        <f t="shared" si="2"/>
        <v>182.595</v>
      </c>
      <c r="H15" s="14">
        <v>350</v>
      </c>
      <c r="I15" s="14">
        <f t="shared" si="3"/>
        <v>23.607</v>
      </c>
      <c r="J15" s="27">
        <f t="shared" si="1"/>
        <v>0.129286125030806</v>
      </c>
    </row>
    <row r="16" ht="22.2" customHeight="1" spans="1:10">
      <c r="A16" s="11">
        <v>2</v>
      </c>
      <c r="B16" s="8" t="s">
        <v>10</v>
      </c>
      <c r="C16" s="9">
        <f>'概算汇总表（详细）'!G16</f>
        <v>22606.26</v>
      </c>
      <c r="D16" s="9">
        <f>'概算汇总表（详细）'!F16</f>
        <v>7936.98</v>
      </c>
      <c r="E16" s="9">
        <f>'概算汇总表（详细）'!I16</f>
        <v>3510.9655467114</v>
      </c>
      <c r="F16" s="9">
        <v>22571</v>
      </c>
      <c r="G16" s="10">
        <f>G17+G18+G24</f>
        <v>7432.51</v>
      </c>
      <c r="H16" s="9">
        <f>G16*10000/F16</f>
        <v>3292.94670151965</v>
      </c>
      <c r="I16" s="9">
        <f>I17+I18+I24</f>
        <v>504.4658</v>
      </c>
      <c r="J16" s="26">
        <f t="shared" ref="J16:J21" si="4">I16/G16</f>
        <v>0.0678728720176629</v>
      </c>
    </row>
    <row r="17" ht="22.2" customHeight="1" spans="1:12">
      <c r="A17" s="12">
        <v>2.1</v>
      </c>
      <c r="B17" s="13" t="s">
        <v>8</v>
      </c>
      <c r="C17" s="14">
        <f>'概算汇总表（详细）'!G16</f>
        <v>22606.26</v>
      </c>
      <c r="D17" s="14">
        <f>'概算汇总表（详细）'!F17</f>
        <v>6244.8058</v>
      </c>
      <c r="E17" s="14">
        <f>D17*10000/C17</f>
        <v>2762.42324028831</v>
      </c>
      <c r="F17" s="9">
        <f>F16</f>
        <v>22571</v>
      </c>
      <c r="G17" s="10">
        <f>H17*F17/10000</f>
        <v>4852.765</v>
      </c>
      <c r="H17" s="9">
        <v>2150</v>
      </c>
      <c r="I17" s="14">
        <f t="shared" ref="I17:I24" si="5">D17-G17</f>
        <v>1392.0408</v>
      </c>
      <c r="J17" s="27">
        <f t="shared" si="4"/>
        <v>0.286855184621551</v>
      </c>
      <c r="L17" s="30"/>
    </row>
    <row r="18" ht="22.2" customHeight="1" spans="1:10">
      <c r="A18" s="12">
        <v>2.2</v>
      </c>
      <c r="B18" s="13" t="s">
        <v>9</v>
      </c>
      <c r="C18" s="14">
        <f>C16</f>
        <v>22606.26</v>
      </c>
      <c r="D18" s="14">
        <f>'概算汇总表（详细）'!F18</f>
        <v>1592.17</v>
      </c>
      <c r="E18" s="14">
        <f t="shared" ref="E18:E24" si="6">D18*10000/C18</f>
        <v>704.304913771672</v>
      </c>
      <c r="F18" s="9">
        <f>F16</f>
        <v>22571</v>
      </c>
      <c r="G18" s="10">
        <f>G19+G20+G21+G22+G23</f>
        <v>2512.245</v>
      </c>
      <c r="H18" s="9">
        <f>G18*10000/F18</f>
        <v>1113.04107040007</v>
      </c>
      <c r="I18" s="14">
        <f t="shared" si="5"/>
        <v>-920.075</v>
      </c>
      <c r="J18" s="27">
        <f t="shared" si="4"/>
        <v>-0.366236175213803</v>
      </c>
    </row>
    <row r="19" ht="22.2" customHeight="1" spans="1:10">
      <c r="A19" s="12" t="s">
        <v>74</v>
      </c>
      <c r="B19" s="16" t="s">
        <v>67</v>
      </c>
      <c r="C19" s="14">
        <f>C16</f>
        <v>22606.26</v>
      </c>
      <c r="D19" s="14">
        <f>'概算汇总表（详细）'!F19</f>
        <v>265.7222</v>
      </c>
      <c r="E19" s="14">
        <f t="shared" si="6"/>
        <v>117.543636143263</v>
      </c>
      <c r="F19" s="14">
        <f>F18</f>
        <v>22571</v>
      </c>
      <c r="G19" s="15">
        <f>H19*F19/10000</f>
        <v>225.71</v>
      </c>
      <c r="H19" s="14">
        <v>100</v>
      </c>
      <c r="I19" s="14">
        <f t="shared" si="5"/>
        <v>40.0122</v>
      </c>
      <c r="J19" s="27">
        <f t="shared" si="4"/>
        <v>0.177272606441894</v>
      </c>
    </row>
    <row r="20" ht="22.2" customHeight="1" spans="1:12">
      <c r="A20" s="12" t="s">
        <v>75</v>
      </c>
      <c r="B20" s="16" t="s">
        <v>69</v>
      </c>
      <c r="C20" s="14">
        <f>C16</f>
        <v>22606.26</v>
      </c>
      <c r="D20" s="14">
        <f>'概算汇总表（详细）'!F20</f>
        <v>358.2688</v>
      </c>
      <c r="E20" s="14">
        <f t="shared" si="6"/>
        <v>158.482119554495</v>
      </c>
      <c r="F20" s="14">
        <f>F18</f>
        <v>22571</v>
      </c>
      <c r="G20" s="15">
        <f>H20*F20/10000</f>
        <v>451.42</v>
      </c>
      <c r="H20" s="14">
        <v>200</v>
      </c>
      <c r="I20" s="14">
        <f t="shared" si="5"/>
        <v>-93.1512</v>
      </c>
      <c r="J20" s="27">
        <f t="shared" si="4"/>
        <v>-0.206351513003411</v>
      </c>
      <c r="L20" s="25"/>
    </row>
    <row r="21" ht="22.2" customHeight="1" spans="1:12">
      <c r="A21" s="12" t="s">
        <v>76</v>
      </c>
      <c r="B21" s="16" t="s">
        <v>77</v>
      </c>
      <c r="C21" s="14">
        <f>C16</f>
        <v>22606.26</v>
      </c>
      <c r="D21" s="14">
        <f>'概算汇总表（详细）'!F21</f>
        <v>198.3925</v>
      </c>
      <c r="E21" s="14">
        <f>'概算汇总表（详细）'!I21</f>
        <v>87.7599832966621</v>
      </c>
      <c r="F21" s="14">
        <f>F18</f>
        <v>22571</v>
      </c>
      <c r="G21" s="15">
        <f>H21*F21/10000</f>
        <v>677.13</v>
      </c>
      <c r="H21" s="14">
        <v>300</v>
      </c>
      <c r="I21" s="14">
        <f t="shared" si="5"/>
        <v>-478.7375</v>
      </c>
      <c r="J21" s="27">
        <f t="shared" si="4"/>
        <v>-0.7070097322523</v>
      </c>
      <c r="K21" s="25"/>
      <c r="L21" s="25"/>
    </row>
    <row r="22" ht="22.2" customHeight="1" spans="1:10">
      <c r="A22" s="12" t="s">
        <v>78</v>
      </c>
      <c r="B22" s="16" t="s">
        <v>73</v>
      </c>
      <c r="C22" s="14">
        <f>C16</f>
        <v>22606.26</v>
      </c>
      <c r="D22" s="14">
        <f>'概算汇总表（详细）'!F22</f>
        <v>679.788</v>
      </c>
      <c r="E22" s="14">
        <f t="shared" si="6"/>
        <v>300.707857027213</v>
      </c>
      <c r="F22" s="14">
        <f>F18</f>
        <v>22571</v>
      </c>
      <c r="G22" s="15">
        <f>350*F22/10000+200</f>
        <v>989.985</v>
      </c>
      <c r="H22" s="14">
        <f>G22*10000/F22</f>
        <v>438.609277391343</v>
      </c>
      <c r="I22" s="14">
        <f t="shared" si="5"/>
        <v>-310.197</v>
      </c>
      <c r="J22" s="27">
        <f t="shared" ref="J22:J24" si="7">I22/G22</f>
        <v>-0.313335050531069</v>
      </c>
    </row>
    <row r="23" ht="22.2" customHeight="1" spans="1:11">
      <c r="A23" s="12" t="s">
        <v>79</v>
      </c>
      <c r="B23" s="17" t="s">
        <v>80</v>
      </c>
      <c r="C23" s="14">
        <f>C16</f>
        <v>22606.26</v>
      </c>
      <c r="D23" s="14">
        <f>'概算汇总表（详细）'!F23</f>
        <v>90</v>
      </c>
      <c r="E23" s="14">
        <f t="shared" si="6"/>
        <v>39.8119812830605</v>
      </c>
      <c r="F23" s="14">
        <f>F16</f>
        <v>22571</v>
      </c>
      <c r="G23" s="15">
        <v>168</v>
      </c>
      <c r="H23" s="14">
        <f>G23*10000/F23</f>
        <v>74.431793008728</v>
      </c>
      <c r="I23" s="14">
        <f t="shared" si="5"/>
        <v>-78</v>
      </c>
      <c r="J23" s="27">
        <f t="shared" si="7"/>
        <v>-0.464285714285714</v>
      </c>
      <c r="K23" s="25"/>
    </row>
    <row r="24" ht="21.75" customHeight="1" spans="1:10">
      <c r="A24" s="12">
        <v>2.3</v>
      </c>
      <c r="B24" s="13" t="s">
        <v>11</v>
      </c>
      <c r="C24" s="14">
        <f>C16</f>
        <v>22606.26</v>
      </c>
      <c r="D24" s="14">
        <f>'概算汇总表（详细）'!F24</f>
        <v>100</v>
      </c>
      <c r="E24" s="14">
        <f t="shared" si="6"/>
        <v>44.2355347589561</v>
      </c>
      <c r="F24" s="14">
        <f>F16</f>
        <v>22571</v>
      </c>
      <c r="G24" s="15">
        <v>67.5</v>
      </c>
      <c r="H24" s="14">
        <f>G24*10000/F24</f>
        <v>29.9056311195782</v>
      </c>
      <c r="I24" s="14">
        <f t="shared" si="5"/>
        <v>32.5</v>
      </c>
      <c r="J24" s="27">
        <f t="shared" si="7"/>
        <v>0.481481481481481</v>
      </c>
    </row>
    <row r="25" ht="22.2" customHeight="1" spans="1:10">
      <c r="A25" s="11">
        <v>3</v>
      </c>
      <c r="B25" s="8" t="s">
        <v>12</v>
      </c>
      <c r="C25" s="9">
        <f>'概算汇总表（详细）'!G25</f>
        <v>4702.42</v>
      </c>
      <c r="D25" s="9">
        <f>'概算汇总表（详细）'!F25</f>
        <v>1833.33</v>
      </c>
      <c r="E25" s="9">
        <f>'概算汇总表（详细）'!I25</f>
        <v>3898.69471463629</v>
      </c>
      <c r="F25" s="9">
        <v>5104</v>
      </c>
      <c r="G25" s="10">
        <f>G26+G27+G33</f>
        <v>1796.32</v>
      </c>
      <c r="H25" s="9">
        <f>G25*10000/F25</f>
        <v>3519.43573667712</v>
      </c>
      <c r="I25" s="9">
        <f>I26+I27+I33</f>
        <v>37.0118000000001</v>
      </c>
      <c r="J25" s="26">
        <f t="shared" ref="J25:J30" si="8">I25/G25</f>
        <v>0.0206042353255545</v>
      </c>
    </row>
    <row r="26" ht="22.2" customHeight="1" spans="1:12">
      <c r="A26" s="12">
        <v>3.1</v>
      </c>
      <c r="B26" s="13" t="s">
        <v>8</v>
      </c>
      <c r="C26" s="14">
        <f>C25</f>
        <v>4702.42</v>
      </c>
      <c r="D26" s="14">
        <f>'概算汇总表（详细）'!F26</f>
        <v>1212.0118</v>
      </c>
      <c r="E26" s="14">
        <f>D26*10000/C26</f>
        <v>2577.42141280447</v>
      </c>
      <c r="F26" s="9">
        <v>5104</v>
      </c>
      <c r="G26" s="10">
        <f>F26*H26/10000</f>
        <v>969.76</v>
      </c>
      <c r="H26" s="9">
        <v>1900</v>
      </c>
      <c r="I26" s="14">
        <f>D26-G26</f>
        <v>242.2518</v>
      </c>
      <c r="J26" s="27">
        <f t="shared" si="8"/>
        <v>0.249805931364461</v>
      </c>
      <c r="L26" s="25"/>
    </row>
    <row r="27" ht="22.2" customHeight="1" spans="1:10">
      <c r="A27" s="12">
        <v>3.2</v>
      </c>
      <c r="B27" s="13" t="s">
        <v>9</v>
      </c>
      <c r="C27" s="14">
        <f>C25</f>
        <v>4702.42</v>
      </c>
      <c r="D27" s="14">
        <f>'概算汇总表（详细）'!F27</f>
        <v>621.32</v>
      </c>
      <c r="E27" s="14">
        <f t="shared" ref="E27:E32" si="9">D27*10000/C27</f>
        <v>1321.27712964814</v>
      </c>
      <c r="F27" s="9">
        <f>F25</f>
        <v>5104</v>
      </c>
      <c r="G27" s="10">
        <f>G28+G29+G30+G31+G32</f>
        <v>750</v>
      </c>
      <c r="H27" s="9">
        <f>G27*10000/F27</f>
        <v>1469.43573667712</v>
      </c>
      <c r="I27" s="14">
        <f>D27-G27</f>
        <v>-128.68</v>
      </c>
      <c r="J27" s="27">
        <f t="shared" si="8"/>
        <v>-0.171573333333333</v>
      </c>
    </row>
    <row r="28" ht="22.2" customHeight="1" spans="1:10">
      <c r="A28" s="12" t="s">
        <v>82</v>
      </c>
      <c r="B28" s="16" t="s">
        <v>67</v>
      </c>
      <c r="C28" s="14">
        <f>C25</f>
        <v>4702.42</v>
      </c>
      <c r="D28" s="14">
        <f>'概算汇总表（详细）'!F28</f>
        <v>86.555</v>
      </c>
      <c r="E28" s="14">
        <f t="shared" si="9"/>
        <v>184.064800677098</v>
      </c>
      <c r="F28" s="14">
        <f>F25</f>
        <v>5104</v>
      </c>
      <c r="G28" s="15">
        <f>H28*F28/10000</f>
        <v>102.08</v>
      </c>
      <c r="H28" s="14">
        <v>200</v>
      </c>
      <c r="I28" s="14">
        <f>D28-G28</f>
        <v>-15.525</v>
      </c>
      <c r="J28" s="27">
        <f t="shared" si="8"/>
        <v>-0.152086598746081</v>
      </c>
    </row>
    <row r="29" ht="22.2" customHeight="1" spans="1:12">
      <c r="A29" s="12" t="s">
        <v>83</v>
      </c>
      <c r="B29" s="16" t="s">
        <v>69</v>
      </c>
      <c r="C29" s="14">
        <f>C25</f>
        <v>4702.42</v>
      </c>
      <c r="D29" s="14">
        <f>'概算汇总表（详细）'!F29</f>
        <v>93.6325</v>
      </c>
      <c r="E29" s="14">
        <f t="shared" si="9"/>
        <v>199.115561774576</v>
      </c>
      <c r="F29" s="14">
        <f>F25</f>
        <v>5104</v>
      </c>
      <c r="G29" s="15">
        <f>H29*F29/10000</f>
        <v>102.08</v>
      </c>
      <c r="H29" s="14">
        <v>200</v>
      </c>
      <c r="I29" s="14">
        <f>D29-G29</f>
        <v>-8.44750000000001</v>
      </c>
      <c r="J29" s="27">
        <f t="shared" si="8"/>
        <v>-0.082753722570533</v>
      </c>
      <c r="L29" s="25"/>
    </row>
    <row r="30" ht="22.2" customHeight="1" spans="1:12">
      <c r="A30" s="12" t="s">
        <v>84</v>
      </c>
      <c r="B30" s="16" t="s">
        <v>77</v>
      </c>
      <c r="C30" s="14">
        <f>C25</f>
        <v>4702.42</v>
      </c>
      <c r="D30" s="14">
        <f>'概算汇总表（详细）'!F30</f>
        <v>241.2379</v>
      </c>
      <c r="E30" s="14">
        <f t="shared" si="9"/>
        <v>513.007983123583</v>
      </c>
      <c r="F30" s="14">
        <f>F25</f>
        <v>5104</v>
      </c>
      <c r="G30" s="15">
        <f>F30*H30/10000</f>
        <v>280.72</v>
      </c>
      <c r="H30" s="14">
        <v>550</v>
      </c>
      <c r="I30" s="14">
        <f>D30-G30</f>
        <v>-39.4821</v>
      </c>
      <c r="J30" s="27">
        <f t="shared" si="8"/>
        <v>-0.140645839270448</v>
      </c>
      <c r="L30" s="25"/>
    </row>
    <row r="31" ht="22.2" customHeight="1" spans="1:10">
      <c r="A31" s="12" t="s">
        <v>85</v>
      </c>
      <c r="B31" s="16" t="s">
        <v>73</v>
      </c>
      <c r="C31" s="14">
        <f>C25</f>
        <v>4702.42</v>
      </c>
      <c r="D31" s="14">
        <f>'概算汇总表（详细）'!F31</f>
        <v>169.8906</v>
      </c>
      <c r="E31" s="14">
        <f t="shared" si="9"/>
        <v>361.283339216829</v>
      </c>
      <c r="F31" s="14">
        <f>F25</f>
        <v>5104</v>
      </c>
      <c r="G31" s="15">
        <f t="shared" ref="G31" si="10">F31*H31/10000</f>
        <v>153.12</v>
      </c>
      <c r="H31" s="14">
        <v>300</v>
      </c>
      <c r="I31" s="14">
        <f t="shared" ref="I31:I35" si="11">D31-G31</f>
        <v>16.7706</v>
      </c>
      <c r="J31" s="27">
        <f t="shared" ref="J31:J35" si="12">I31/G31</f>
        <v>0.109525862068966</v>
      </c>
    </row>
    <row r="32" ht="22.2" customHeight="1" spans="1:10">
      <c r="A32" s="12" t="s">
        <v>86</v>
      </c>
      <c r="B32" s="17" t="s">
        <v>80</v>
      </c>
      <c r="C32" s="14">
        <f>C25</f>
        <v>4702.42</v>
      </c>
      <c r="D32" s="14">
        <f>'概算汇总表（详细）'!F32</f>
        <v>30</v>
      </c>
      <c r="E32" s="14">
        <f t="shared" si="9"/>
        <v>63.7969385975732</v>
      </c>
      <c r="F32" s="14">
        <f>F25</f>
        <v>5104</v>
      </c>
      <c r="G32" s="15">
        <v>112</v>
      </c>
      <c r="H32" s="14">
        <f>G32*10000/F32</f>
        <v>219.435736677116</v>
      </c>
      <c r="I32" s="14">
        <f t="shared" si="11"/>
        <v>-82</v>
      </c>
      <c r="J32" s="27">
        <f t="shared" si="12"/>
        <v>-0.732142857142857</v>
      </c>
    </row>
    <row r="33" ht="22.2" customHeight="1" spans="1:10">
      <c r="A33" s="12">
        <v>3.3</v>
      </c>
      <c r="B33" s="17" t="s">
        <v>139</v>
      </c>
      <c r="C33" s="14"/>
      <c r="D33" s="14"/>
      <c r="E33" s="14"/>
      <c r="F33" s="14">
        <f>F25</f>
        <v>5104</v>
      </c>
      <c r="G33" s="15">
        <f>H33*F33/10000</f>
        <v>76.56</v>
      </c>
      <c r="H33" s="14">
        <v>150</v>
      </c>
      <c r="I33" s="14">
        <f t="shared" si="11"/>
        <v>-76.56</v>
      </c>
      <c r="J33" s="27">
        <f t="shared" si="12"/>
        <v>-1</v>
      </c>
    </row>
    <row r="34" ht="22.2" customHeight="1" spans="1:10">
      <c r="A34" s="7">
        <v>4</v>
      </c>
      <c r="B34" s="8" t="s">
        <v>13</v>
      </c>
      <c r="C34" s="9">
        <f>ROUND(C35+C36+C37,2)</f>
        <v>32383.42</v>
      </c>
      <c r="D34" s="9">
        <f>'概算汇总表（详细）'!F33</f>
        <v>1970.1</v>
      </c>
      <c r="E34" s="9">
        <f>'概算汇总表（详细）'!I33</f>
        <v>608.366874159678</v>
      </c>
      <c r="F34" s="9">
        <f>F35+F36+F37</f>
        <v>32892</v>
      </c>
      <c r="G34" s="10">
        <f>G35+G36+G37</f>
        <v>2629.065</v>
      </c>
      <c r="H34" s="9">
        <f>G34*10000/F34</f>
        <v>799.302261948194</v>
      </c>
      <c r="I34" s="9">
        <f t="shared" si="11"/>
        <v>-658.965</v>
      </c>
      <c r="J34" s="26">
        <f t="shared" si="12"/>
        <v>-0.250646142259701</v>
      </c>
    </row>
    <row r="35" ht="22.2" customHeight="1" spans="1:10">
      <c r="A35" s="18">
        <v>4.1</v>
      </c>
      <c r="B35" s="13" t="s">
        <v>14</v>
      </c>
      <c r="C35" s="14">
        <f>C6</f>
        <v>5074.74</v>
      </c>
      <c r="D35" s="14">
        <f>'概算汇总表（详细）'!F34</f>
        <v>185.4377</v>
      </c>
      <c r="E35" s="14">
        <f>'概算汇总表（详细）'!I34</f>
        <v>365.413203435053</v>
      </c>
      <c r="F35" s="14">
        <f>F5</f>
        <v>5217</v>
      </c>
      <c r="G35" s="15">
        <f>H35*F35/10000</f>
        <v>182.595</v>
      </c>
      <c r="H35" s="14">
        <v>350</v>
      </c>
      <c r="I35" s="14">
        <f t="shared" si="11"/>
        <v>2.84270000000001</v>
      </c>
      <c r="J35" s="27">
        <f t="shared" si="12"/>
        <v>0.0155683342917386</v>
      </c>
    </row>
    <row r="36" ht="22.2" customHeight="1" spans="1:12">
      <c r="A36" s="18">
        <v>4.2</v>
      </c>
      <c r="B36" s="13" t="s">
        <v>10</v>
      </c>
      <c r="C36" s="14">
        <f>C16</f>
        <v>22606.26</v>
      </c>
      <c r="D36" s="14">
        <f>'概算汇总表（详细）'!F35</f>
        <v>1438.7445</v>
      </c>
      <c r="E36" s="14">
        <f>'概算汇总表（详细）'!I35</f>
        <v>636.43632339007</v>
      </c>
      <c r="F36" s="14">
        <f>F16</f>
        <v>22571</v>
      </c>
      <c r="G36" s="15">
        <f>(900*11791+600*1346+800*9434)/10000</f>
        <v>1896.67</v>
      </c>
      <c r="H36" s="14">
        <f>G36*10000/F36</f>
        <v>840.312790749191</v>
      </c>
      <c r="I36" s="14">
        <f t="shared" ref="I36:I37" si="13">D36-G36</f>
        <v>-457.9255</v>
      </c>
      <c r="J36" s="27">
        <f t="shared" ref="J36:J37" si="14">I36/G36</f>
        <v>-0.241436570410245</v>
      </c>
      <c r="L36" s="25"/>
    </row>
    <row r="37" ht="22.2" customHeight="1" spans="1:10">
      <c r="A37" s="18">
        <v>4.3</v>
      </c>
      <c r="B37" s="13" t="s">
        <v>12</v>
      </c>
      <c r="C37" s="14">
        <f>C25</f>
        <v>4702.42</v>
      </c>
      <c r="D37" s="14">
        <f>'概算汇总表（详细）'!F36</f>
        <v>345.9202</v>
      </c>
      <c r="E37" s="14">
        <f>'概算汇总表（详细）'!I36</f>
        <v>735.621658635341</v>
      </c>
      <c r="F37" s="14">
        <f>F25</f>
        <v>5104</v>
      </c>
      <c r="G37" s="15">
        <f>(1200*1970+1000*3134)/10000</f>
        <v>549.8</v>
      </c>
      <c r="H37" s="14">
        <f>G37*10000/F37</f>
        <v>1077.19435736677</v>
      </c>
      <c r="I37" s="14">
        <f t="shared" si="13"/>
        <v>-203.8798</v>
      </c>
      <c r="J37" s="27">
        <f t="shared" si="14"/>
        <v>-0.370825391051291</v>
      </c>
    </row>
    <row r="38" ht="22.2" customHeight="1" spans="1:10">
      <c r="A38" s="11">
        <v>5</v>
      </c>
      <c r="B38" s="19" t="s">
        <v>15</v>
      </c>
      <c r="C38" s="9">
        <f>ROUND(C39+C40,2)</f>
        <v>27308.68</v>
      </c>
      <c r="D38" s="9">
        <f>'概算汇总表（详细）'!F37</f>
        <v>1504.72</v>
      </c>
      <c r="E38" s="9">
        <f>'概算汇总表（详细）'!I37</f>
        <v>551.004296069967</v>
      </c>
      <c r="F38" s="9">
        <f>F39+F40</f>
        <v>27675</v>
      </c>
      <c r="G38" s="10">
        <f>G39+G40</f>
        <v>1798.875</v>
      </c>
      <c r="H38" s="9">
        <f>G38*10000/F38</f>
        <v>650</v>
      </c>
      <c r="I38" s="9">
        <f t="shared" ref="I38:I49" si="15">D38-G38</f>
        <v>-294.155</v>
      </c>
      <c r="J38" s="26">
        <f t="shared" ref="J38:J50" si="16">I38/G38</f>
        <v>-0.163521645472865</v>
      </c>
    </row>
    <row r="39" ht="22.2" customHeight="1" spans="1:10">
      <c r="A39" s="12">
        <v>5.1</v>
      </c>
      <c r="B39" s="13" t="s">
        <v>10</v>
      </c>
      <c r="C39" s="14">
        <f>C36</f>
        <v>22606.26</v>
      </c>
      <c r="D39" s="14">
        <f>'概算汇总表（详细）'!F38</f>
        <v>1330.9564</v>
      </c>
      <c r="E39" s="14">
        <f>'概算汇总表（详细）'!I38</f>
        <v>588.755680948551</v>
      </c>
      <c r="F39" s="14">
        <f>F36</f>
        <v>22571</v>
      </c>
      <c r="G39" s="15">
        <f>H39*F39/10000</f>
        <v>1467.115</v>
      </c>
      <c r="H39" s="14">
        <v>650</v>
      </c>
      <c r="I39" s="14">
        <f t="shared" si="15"/>
        <v>-136.1586</v>
      </c>
      <c r="J39" s="27">
        <f t="shared" si="16"/>
        <v>-0.0928070396662838</v>
      </c>
    </row>
    <row r="40" ht="22.2" customHeight="1" spans="1:10">
      <c r="A40" s="12">
        <v>5.2</v>
      </c>
      <c r="B40" s="13" t="s">
        <v>12</v>
      </c>
      <c r="C40" s="14">
        <f>C37</f>
        <v>4702.42</v>
      </c>
      <c r="D40" s="14">
        <f>'概算汇总表（详细）'!F39</f>
        <v>173.76</v>
      </c>
      <c r="E40" s="14">
        <f>'概算汇总表（详细）'!I39</f>
        <v>369.511868357144</v>
      </c>
      <c r="F40" s="14">
        <f>F37</f>
        <v>5104</v>
      </c>
      <c r="G40" s="15">
        <f>H40*F40/10000</f>
        <v>331.76</v>
      </c>
      <c r="H40" s="14">
        <v>650</v>
      </c>
      <c r="I40" s="14">
        <f t="shared" si="15"/>
        <v>-158</v>
      </c>
      <c r="J40" s="27">
        <f t="shared" si="16"/>
        <v>-0.476247890040993</v>
      </c>
    </row>
    <row r="41" ht="22.2" customHeight="1" spans="1:10">
      <c r="A41" s="7">
        <v>6</v>
      </c>
      <c r="B41" s="8" t="s">
        <v>16</v>
      </c>
      <c r="C41" s="9">
        <f>C5</f>
        <v>5074.74</v>
      </c>
      <c r="D41" s="9">
        <f>'概算汇总表（详细）'!C40</f>
        <v>372.4483</v>
      </c>
      <c r="E41" s="9">
        <f>D41*10000/C41</f>
        <v>733.92587600547</v>
      </c>
      <c r="F41" s="9">
        <f>F5</f>
        <v>5217</v>
      </c>
      <c r="G41" s="10">
        <v>400</v>
      </c>
      <c r="H41" s="9">
        <f>G41*10000/F41</f>
        <v>766.72417097949</v>
      </c>
      <c r="I41" s="9">
        <f t="shared" si="15"/>
        <v>-27.5517</v>
      </c>
      <c r="J41" s="26">
        <f t="shared" ref="J41:J42" si="17">I41/G41</f>
        <v>-0.06887925</v>
      </c>
    </row>
    <row r="42" ht="22.2" customHeight="1" spans="1:10">
      <c r="A42" s="7">
        <v>7</v>
      </c>
      <c r="B42" s="8" t="s">
        <v>17</v>
      </c>
      <c r="C42" s="9"/>
      <c r="D42" s="9">
        <f>'概算汇总表（详细）'!C41</f>
        <v>893.46</v>
      </c>
      <c r="E42" s="9"/>
      <c r="F42" s="9"/>
      <c r="G42" s="10">
        <f>SUM(G43:G46)</f>
        <v>482.381</v>
      </c>
      <c r="H42" s="9"/>
      <c r="I42" s="9">
        <f t="shared" si="15"/>
        <v>411.079</v>
      </c>
      <c r="J42" s="26">
        <f t="shared" si="17"/>
        <v>0.852187378856133</v>
      </c>
    </row>
    <row r="43" ht="22.2" customHeight="1" spans="1:10">
      <c r="A43" s="18">
        <v>7.1</v>
      </c>
      <c r="B43" s="13" t="s">
        <v>14</v>
      </c>
      <c r="C43" s="14">
        <f>C35</f>
        <v>5074.74</v>
      </c>
      <c r="D43" s="14">
        <f>'概算汇总表（详细）'!C42</f>
        <v>53.6987</v>
      </c>
      <c r="E43" s="14">
        <f>'概算汇总表（详细）'!I42</f>
        <v>105.81566740365</v>
      </c>
      <c r="F43" s="14">
        <f>F6</f>
        <v>5217</v>
      </c>
      <c r="G43" s="15">
        <f>80*F43/10000</f>
        <v>41.736</v>
      </c>
      <c r="H43" s="14">
        <v>80</v>
      </c>
      <c r="I43" s="14"/>
      <c r="J43" s="27"/>
    </row>
    <row r="44" ht="22.2" customHeight="1" spans="1:10">
      <c r="A44" s="18">
        <v>7.2</v>
      </c>
      <c r="B44" s="13" t="s">
        <v>10</v>
      </c>
      <c r="C44" s="14">
        <f>C36</f>
        <v>22606.26</v>
      </c>
      <c r="D44" s="14">
        <f>'概算汇总表（详细）'!C43</f>
        <v>586.6734</v>
      </c>
      <c r="E44" s="14">
        <f>'概算汇总表（详细）'!I43</f>
        <v>259.51811577855</v>
      </c>
      <c r="F44" s="14">
        <f>F16</f>
        <v>22571</v>
      </c>
      <c r="G44" s="15">
        <f>150*F44/10000</f>
        <v>338.565</v>
      </c>
      <c r="H44" s="14">
        <v>150</v>
      </c>
      <c r="I44" s="14"/>
      <c r="J44" s="27"/>
    </row>
    <row r="45" ht="22.2" customHeight="1" spans="1:10">
      <c r="A45" s="18">
        <v>7.3</v>
      </c>
      <c r="B45" s="13" t="s">
        <v>12</v>
      </c>
      <c r="C45" s="14">
        <f>C37</f>
        <v>4702.42</v>
      </c>
      <c r="D45" s="14">
        <f>'概算汇总表（详细）'!C44</f>
        <v>103.8655</v>
      </c>
      <c r="E45" s="14">
        <f>'概算汇总表（详细）'!I44</f>
        <v>220.876697530208</v>
      </c>
      <c r="F45" s="14">
        <f>F25</f>
        <v>5104</v>
      </c>
      <c r="G45" s="15">
        <f>200*F45/10000</f>
        <v>102.08</v>
      </c>
      <c r="H45" s="14">
        <v>200</v>
      </c>
      <c r="I45" s="14"/>
      <c r="J45" s="27"/>
    </row>
    <row r="46" ht="22.2" customHeight="1" spans="1:10">
      <c r="A46" s="12">
        <v>7.4</v>
      </c>
      <c r="B46" s="13" t="s">
        <v>88</v>
      </c>
      <c r="C46" s="14"/>
      <c r="D46" s="14">
        <f>'概算汇总表（详细）'!C45</f>
        <v>149.2269</v>
      </c>
      <c r="E46" s="14"/>
      <c r="F46" s="14"/>
      <c r="G46" s="15">
        <v>0</v>
      </c>
      <c r="H46" s="14"/>
      <c r="I46" s="14"/>
      <c r="J46" s="27"/>
    </row>
    <row r="47" ht="22.2" customHeight="1" spans="1:12">
      <c r="A47" s="7">
        <v>8</v>
      </c>
      <c r="B47" s="8" t="s">
        <v>18</v>
      </c>
      <c r="C47" s="9">
        <f>C53</f>
        <v>30789.83934</v>
      </c>
      <c r="D47" s="9">
        <f>'概算汇总表（详细）'!F46</f>
        <v>1700.13</v>
      </c>
      <c r="E47" s="14">
        <f>D47*10000/C47</f>
        <v>552.172416759353</v>
      </c>
      <c r="F47" s="9">
        <f>F53</f>
        <v>26375</v>
      </c>
      <c r="G47" s="10">
        <f>G48+G49+G50+G53+G54+G55+G56</f>
        <v>2017.674</v>
      </c>
      <c r="H47" s="9">
        <f>G47*10000/F47</f>
        <v>764.994881516588</v>
      </c>
      <c r="I47" s="9">
        <f>D47-G47</f>
        <v>-317.544</v>
      </c>
      <c r="J47" s="26">
        <f t="shared" si="16"/>
        <v>-0.157381222139949</v>
      </c>
      <c r="L47" s="25"/>
    </row>
    <row r="48" ht="22.2" customHeight="1" spans="1:10">
      <c r="A48" s="12">
        <v>8.1</v>
      </c>
      <c r="B48" s="13" t="s">
        <v>89</v>
      </c>
      <c r="C48" s="14">
        <f>'概算汇总表（详细）'!G47</f>
        <v>16200</v>
      </c>
      <c r="D48" s="14">
        <f>'概算汇总表（详细）'!F47</f>
        <v>837.0524</v>
      </c>
      <c r="E48" s="14">
        <f>'概算汇总表（详细）'!I47</f>
        <v>516.699012345679</v>
      </c>
      <c r="F48" s="14">
        <v>17400</v>
      </c>
      <c r="G48" s="15">
        <f>H48*F48/10000</f>
        <v>870</v>
      </c>
      <c r="H48" s="14">
        <v>500</v>
      </c>
      <c r="I48" s="14">
        <f t="shared" si="15"/>
        <v>-32.9476</v>
      </c>
      <c r="J48" s="27">
        <f t="shared" si="16"/>
        <v>-0.0378708045977011</v>
      </c>
    </row>
    <row r="49" ht="22.2" customHeight="1" spans="1:10">
      <c r="A49" s="12">
        <v>8.2</v>
      </c>
      <c r="B49" s="13" t="s">
        <v>90</v>
      </c>
      <c r="C49" s="14">
        <f>'概算汇总表（详细）'!G48</f>
        <v>13633</v>
      </c>
      <c r="D49" s="14">
        <f>'概算汇总表（详细）'!F48</f>
        <v>286.7598</v>
      </c>
      <c r="E49" s="14">
        <f>'概算汇总表（详细）'!I48</f>
        <v>210.342404459767</v>
      </c>
      <c r="F49" s="14">
        <v>8975</v>
      </c>
      <c r="G49" s="15">
        <f>H49*F49/10000</f>
        <v>278.225</v>
      </c>
      <c r="H49" s="14">
        <v>310</v>
      </c>
      <c r="I49" s="14">
        <f t="shared" si="15"/>
        <v>8.53479999999996</v>
      </c>
      <c r="J49" s="27">
        <f t="shared" si="16"/>
        <v>0.030675891814179</v>
      </c>
    </row>
    <row r="50" ht="22.2" customHeight="1" spans="1:12">
      <c r="A50" s="12">
        <v>8.3</v>
      </c>
      <c r="B50" s="13" t="s">
        <v>91</v>
      </c>
      <c r="C50" s="14"/>
      <c r="D50" s="14">
        <f>'概算汇总表（详细）'!F49</f>
        <v>278.4134</v>
      </c>
      <c r="E50" s="14"/>
      <c r="F50" s="14">
        <f>F53</f>
        <v>26375</v>
      </c>
      <c r="G50" s="15">
        <f>H50*F50/10000</f>
        <v>527.5</v>
      </c>
      <c r="H50" s="14">
        <v>200</v>
      </c>
      <c r="I50" s="14">
        <f>D50+D51+D52-G50</f>
        <v>-32.7666</v>
      </c>
      <c r="J50" s="27">
        <f t="shared" si="16"/>
        <v>-0.0621167772511849</v>
      </c>
      <c r="L50" s="25"/>
    </row>
    <row r="51" ht="22.2" customHeight="1" spans="1:10">
      <c r="A51" s="12">
        <v>8.4</v>
      </c>
      <c r="B51" s="13" t="s">
        <v>92</v>
      </c>
      <c r="C51" s="14"/>
      <c r="D51" s="14">
        <f>'概算汇总表（详细）'!F50</f>
        <v>40.7732</v>
      </c>
      <c r="E51" s="14"/>
      <c r="F51" s="14"/>
      <c r="G51" s="15"/>
      <c r="H51" s="14"/>
      <c r="I51" s="14"/>
      <c r="J51" s="27"/>
    </row>
    <row r="52" ht="22.2" customHeight="1" spans="1:10">
      <c r="A52" s="12">
        <v>8.5</v>
      </c>
      <c r="B52" s="13" t="s">
        <v>93</v>
      </c>
      <c r="C52" s="14"/>
      <c r="D52" s="14">
        <f>'概算汇总表（详细）'!F51</f>
        <v>175.5468</v>
      </c>
      <c r="E52" s="14"/>
      <c r="F52" s="14"/>
      <c r="G52" s="15"/>
      <c r="H52" s="14"/>
      <c r="I52" s="14"/>
      <c r="J52" s="27"/>
    </row>
    <row r="53" ht="22.2" customHeight="1" spans="1:10">
      <c r="A53" s="12">
        <v>8.6</v>
      </c>
      <c r="B53" s="13" t="s">
        <v>94</v>
      </c>
      <c r="C53" s="14">
        <f>'概算汇总表（详细）'!G52</f>
        <v>30789.83934</v>
      </c>
      <c r="D53" s="14">
        <f>'概算汇总表（详细）'!F52</f>
        <v>61.58</v>
      </c>
      <c r="E53" s="14">
        <f>'概算汇总表（详细）'!I52</f>
        <v>20</v>
      </c>
      <c r="F53" s="14">
        <f>F56</f>
        <v>26375</v>
      </c>
      <c r="G53" s="15">
        <f>F53*H53/10000</f>
        <v>52.75</v>
      </c>
      <c r="H53" s="14">
        <v>20</v>
      </c>
      <c r="I53" s="14">
        <f>D53-G53</f>
        <v>8.83</v>
      </c>
      <c r="J53" s="27">
        <f>I53/G53</f>
        <v>0.16739336492891</v>
      </c>
    </row>
    <row r="54" ht="22.2" customHeight="1" spans="1:10">
      <c r="A54" s="12">
        <v>8.7</v>
      </c>
      <c r="B54" s="13" t="s">
        <v>95</v>
      </c>
      <c r="C54" s="14">
        <v>40</v>
      </c>
      <c r="D54" s="14">
        <f>'概算汇总表（详细）'!F53</f>
        <v>20</v>
      </c>
      <c r="E54" s="14">
        <f>'概算汇总表（详细）'!I53</f>
        <v>5000</v>
      </c>
      <c r="F54" s="14">
        <v>20</v>
      </c>
      <c r="G54" s="15">
        <f>F54*H54/10000</f>
        <v>40</v>
      </c>
      <c r="H54" s="14">
        <v>20000</v>
      </c>
      <c r="I54" s="14">
        <f>D54-G54</f>
        <v>-20</v>
      </c>
      <c r="J54" s="27">
        <f t="shared" ref="J54:J56" si="18">I54/G54</f>
        <v>-0.5</v>
      </c>
    </row>
    <row r="55" ht="22.2" customHeight="1" spans="1:10">
      <c r="A55" s="12">
        <v>8.8</v>
      </c>
      <c r="B55" s="13" t="s">
        <v>140</v>
      </c>
      <c r="C55" s="14"/>
      <c r="D55" s="14"/>
      <c r="E55" s="14"/>
      <c r="F55" s="14">
        <v>29331</v>
      </c>
      <c r="G55" s="15">
        <f>F55*H55/10000</f>
        <v>117.324</v>
      </c>
      <c r="H55" s="14">
        <v>40</v>
      </c>
      <c r="I55" s="14">
        <f>D55-G55</f>
        <v>-117.324</v>
      </c>
      <c r="J55" s="27">
        <f t="shared" si="18"/>
        <v>-1</v>
      </c>
    </row>
    <row r="56" ht="22.2" customHeight="1" spans="1:10">
      <c r="A56" s="12">
        <v>8.9</v>
      </c>
      <c r="B56" s="13" t="s">
        <v>141</v>
      </c>
      <c r="C56" s="14"/>
      <c r="D56" s="14"/>
      <c r="E56" s="14"/>
      <c r="F56" s="14">
        <v>26375</v>
      </c>
      <c r="G56" s="15">
        <f>F56*H56/10000</f>
        <v>131.875</v>
      </c>
      <c r="H56" s="14">
        <v>50</v>
      </c>
      <c r="I56" s="14">
        <f>D56-G56</f>
        <v>-131.875</v>
      </c>
      <c r="J56" s="27">
        <f t="shared" si="18"/>
        <v>-1</v>
      </c>
    </row>
    <row r="57" ht="22.2" customHeight="1" spans="1:10">
      <c r="A57" s="12"/>
      <c r="B57" s="13"/>
      <c r="C57" s="14"/>
      <c r="D57" s="14"/>
      <c r="E57" s="14"/>
      <c r="F57" s="14"/>
      <c r="G57" s="20"/>
      <c r="H57" s="14"/>
      <c r="I57" s="14"/>
      <c r="J57" s="27"/>
    </row>
    <row r="58" ht="22.2" customHeight="1" spans="1:10">
      <c r="A58" s="7" t="s">
        <v>97</v>
      </c>
      <c r="B58" s="8" t="s">
        <v>20</v>
      </c>
      <c r="C58" s="9">
        <f>C4</f>
        <v>32383.42</v>
      </c>
      <c r="D58" s="9">
        <f>'概算汇总表（详细）'!F55</f>
        <v>1734.54</v>
      </c>
      <c r="E58" s="9">
        <f>D58*10000/C58</f>
        <v>535.625946857991</v>
      </c>
      <c r="F58" s="9">
        <f>F4</f>
        <v>32892</v>
      </c>
      <c r="G58" s="10">
        <f>SUM(G59:G80)</f>
        <v>1971.1755325</v>
      </c>
      <c r="H58" s="9">
        <f>G58*10000/F58</f>
        <v>599.287222576918</v>
      </c>
      <c r="I58" s="9">
        <f>D58-G58</f>
        <v>-236.6355325</v>
      </c>
      <c r="J58" s="26">
        <f>I58/G58</f>
        <v>-0.120047925006395</v>
      </c>
    </row>
    <row r="59" ht="22.2" customHeight="1" spans="1:10">
      <c r="A59" s="20">
        <v>1</v>
      </c>
      <c r="B59" s="21" t="s">
        <v>21</v>
      </c>
      <c r="C59" s="14"/>
      <c r="D59" s="14">
        <f>'概算汇总表（详细）'!F56</f>
        <v>261.378</v>
      </c>
      <c r="E59" s="14"/>
      <c r="F59" s="22"/>
      <c r="G59" s="22">
        <v>261.4</v>
      </c>
      <c r="H59" s="22"/>
      <c r="I59" s="14">
        <f>D59-G59</f>
        <v>-0.0219999999999914</v>
      </c>
      <c r="J59" s="27">
        <f>I59/G59</f>
        <v>-8.41622035194773e-5</v>
      </c>
    </row>
    <row r="60" ht="22.2" customHeight="1" spans="1:10">
      <c r="A60" s="20">
        <v>2</v>
      </c>
      <c r="B60" s="21" t="s">
        <v>22</v>
      </c>
      <c r="C60" s="23"/>
      <c r="D60" s="14">
        <f>'概算汇总表（详细）'!F57</f>
        <v>270.196662304</v>
      </c>
      <c r="E60" s="14"/>
      <c r="F60" s="22"/>
      <c r="G60" s="22">
        <v>267.6</v>
      </c>
      <c r="H60" s="22"/>
      <c r="I60" s="14">
        <f>D60-G60</f>
        <v>2.59666230399995</v>
      </c>
      <c r="J60" s="27">
        <f t="shared" ref="J60:J69" si="19">I60/G60</f>
        <v>0.00970352131539592</v>
      </c>
    </row>
    <row r="61" ht="42" customHeight="1" spans="1:10">
      <c r="A61" s="20">
        <v>3</v>
      </c>
      <c r="B61" s="21" t="s">
        <v>100</v>
      </c>
      <c r="C61" s="23"/>
      <c r="D61" s="14">
        <f>'概算汇总表（详细）'!F58</f>
        <v>85.45037685</v>
      </c>
      <c r="E61" s="14"/>
      <c r="F61" s="22"/>
      <c r="G61" s="22">
        <f>G4*0.3%</f>
        <v>58.090713</v>
      </c>
      <c r="H61" s="22"/>
      <c r="I61" s="14">
        <f t="shared" ref="I61:I69" si="20">D61-G61</f>
        <v>27.35966385</v>
      </c>
      <c r="J61" s="27">
        <f t="shared" si="19"/>
        <v>0.470981718712938</v>
      </c>
    </row>
    <row r="62" ht="22.2" customHeight="1" spans="1:10">
      <c r="A62" s="20">
        <v>4</v>
      </c>
      <c r="B62" s="21" t="s">
        <v>24</v>
      </c>
      <c r="C62" s="23"/>
      <c r="D62" s="14">
        <f>'概算汇总表（详细）'!F59</f>
        <v>367</v>
      </c>
      <c r="E62" s="14"/>
      <c r="F62" s="22"/>
      <c r="G62" s="22">
        <f>440.1+G4*0.2%</f>
        <v>478.827142</v>
      </c>
      <c r="H62" s="22"/>
      <c r="I62" s="14">
        <f t="shared" si="20"/>
        <v>-111.827142</v>
      </c>
      <c r="J62" s="27">
        <f t="shared" si="19"/>
        <v>-0.233543866233047</v>
      </c>
    </row>
    <row r="63" ht="22.2" hidden="1" customHeight="1" spans="1:10">
      <c r="A63" s="20">
        <v>5</v>
      </c>
      <c r="B63" s="21" t="s">
        <v>142</v>
      </c>
      <c r="C63" s="23"/>
      <c r="D63" s="14" t="e">
        <f>'概算汇总表（详细）'!#REF!</f>
        <v>#REF!</v>
      </c>
      <c r="E63" s="14"/>
      <c r="F63" s="22"/>
      <c r="G63" s="22"/>
      <c r="H63" s="22"/>
      <c r="I63" s="14" t="e">
        <f t="shared" si="20"/>
        <v>#REF!</v>
      </c>
      <c r="J63" s="27" t="e">
        <f t="shared" si="19"/>
        <v>#REF!</v>
      </c>
    </row>
    <row r="64" ht="22.2" hidden="1" customHeight="1" spans="1:10">
      <c r="A64" s="20">
        <v>6</v>
      </c>
      <c r="B64" s="21" t="s">
        <v>143</v>
      </c>
      <c r="C64" s="23"/>
      <c r="D64" s="14" t="e">
        <f>'概算汇总表（详细）'!#REF!</f>
        <v>#REF!</v>
      </c>
      <c r="E64" s="14"/>
      <c r="F64" s="22"/>
      <c r="G64" s="22"/>
      <c r="H64" s="22"/>
      <c r="I64" s="14" t="e">
        <f t="shared" si="20"/>
        <v>#REF!</v>
      </c>
      <c r="J64" s="27" t="e">
        <f t="shared" si="19"/>
        <v>#REF!</v>
      </c>
    </row>
    <row r="65" ht="22.2" hidden="1" customHeight="1" spans="1:10">
      <c r="A65" s="20">
        <v>7</v>
      </c>
      <c r="B65" s="21" t="s">
        <v>144</v>
      </c>
      <c r="C65" s="23"/>
      <c r="D65" s="14" t="e">
        <f>'概算汇总表（详细）'!#REF!</f>
        <v>#REF!</v>
      </c>
      <c r="E65" s="14"/>
      <c r="F65" s="22"/>
      <c r="G65" s="22"/>
      <c r="H65" s="22"/>
      <c r="I65" s="14" t="e">
        <f t="shared" si="20"/>
        <v>#REF!</v>
      </c>
      <c r="J65" s="27" t="e">
        <f t="shared" si="19"/>
        <v>#REF!</v>
      </c>
    </row>
    <row r="66" ht="22.2" customHeight="1" spans="1:12">
      <c r="A66" s="20">
        <v>5</v>
      </c>
      <c r="B66" s="21" t="s">
        <v>25</v>
      </c>
      <c r="C66" s="23"/>
      <c r="D66" s="14">
        <f>'概算汇总表（详细）'!F60</f>
        <v>60.67758</v>
      </c>
      <c r="E66" s="14"/>
      <c r="F66" s="22"/>
      <c r="G66" s="22">
        <f>G61</f>
        <v>58.090713</v>
      </c>
      <c r="H66" s="22"/>
      <c r="I66" s="14">
        <f t="shared" si="20"/>
        <v>2.586867</v>
      </c>
      <c r="J66" s="27">
        <f t="shared" si="19"/>
        <v>0.0445315071274819</v>
      </c>
      <c r="L66" s="25"/>
    </row>
    <row r="67" ht="22.2" customHeight="1" spans="1:10">
      <c r="A67" s="20">
        <v>6</v>
      </c>
      <c r="B67" s="21" t="s">
        <v>26</v>
      </c>
      <c r="C67" s="23"/>
      <c r="D67" s="14">
        <f>'概算汇总表（详细）'!F61</f>
        <v>43.528503298432</v>
      </c>
      <c r="E67" s="14"/>
      <c r="F67" s="22"/>
      <c r="G67" s="22">
        <v>42.9</v>
      </c>
      <c r="H67" s="22"/>
      <c r="I67" s="14">
        <f t="shared" si="20"/>
        <v>0.628503298432001</v>
      </c>
      <c r="J67" s="27">
        <f t="shared" si="19"/>
        <v>0.0146504265368765</v>
      </c>
    </row>
    <row r="68" ht="22.2" customHeight="1" spans="1:10">
      <c r="A68" s="20">
        <v>7</v>
      </c>
      <c r="B68" s="21" t="s">
        <v>27</v>
      </c>
      <c r="C68" s="23"/>
      <c r="D68" s="14">
        <f>'概算汇总表（详细）'!F62</f>
        <v>146</v>
      </c>
      <c r="E68" s="14"/>
      <c r="F68" s="22"/>
      <c r="G68" s="22">
        <v>188</v>
      </c>
      <c r="H68" s="22"/>
      <c r="I68" s="14">
        <f t="shared" si="20"/>
        <v>-42</v>
      </c>
      <c r="J68" s="27">
        <f t="shared" si="19"/>
        <v>-0.223404255319149</v>
      </c>
    </row>
    <row r="69" ht="22.2" customHeight="1" spans="1:10">
      <c r="A69" s="20">
        <v>8</v>
      </c>
      <c r="B69" s="21" t="s">
        <v>28</v>
      </c>
      <c r="C69" s="23"/>
      <c r="D69" s="14">
        <f>'概算汇总表（详细）'!F63</f>
        <v>20.22586</v>
      </c>
      <c r="E69" s="14"/>
      <c r="F69" s="22"/>
      <c r="G69" s="22">
        <f>G4*0.05%</f>
        <v>9.6817855</v>
      </c>
      <c r="H69" s="22"/>
      <c r="I69" s="14">
        <f t="shared" si="20"/>
        <v>10.5440745</v>
      </c>
      <c r="J69" s="27">
        <f t="shared" si="19"/>
        <v>1.08906301425496</v>
      </c>
    </row>
    <row r="70" ht="22.2" customHeight="1" spans="1:10">
      <c r="A70" s="20">
        <v>9</v>
      </c>
      <c r="B70" s="21" t="s">
        <v>29</v>
      </c>
      <c r="C70" s="23"/>
      <c r="D70" s="14">
        <f>'概算汇总表（详细）'!F64</f>
        <v>170.012955</v>
      </c>
      <c r="E70" s="14"/>
      <c r="F70" s="22"/>
      <c r="G70" s="22">
        <f>105*F4/10000</f>
        <v>345.366</v>
      </c>
      <c r="H70" s="22"/>
      <c r="I70" s="14">
        <f t="shared" ref="I70:I80" si="21">D70-G70</f>
        <v>-175.353045</v>
      </c>
      <c r="J70" s="27">
        <f t="shared" ref="J70:J71" si="22">I70/G70</f>
        <v>-0.507731059224128</v>
      </c>
    </row>
    <row r="71" ht="27.75" customHeight="1" spans="1:10">
      <c r="A71" s="20">
        <v>10</v>
      </c>
      <c r="B71" s="21" t="s">
        <v>30</v>
      </c>
      <c r="C71" s="23"/>
      <c r="D71" s="14">
        <f>'概算汇总表（详细）'!F65</f>
        <v>7.5322954</v>
      </c>
      <c r="E71" s="14"/>
      <c r="F71" s="22"/>
      <c r="G71" s="22">
        <f>F4*1.2/10000</f>
        <v>3.94704</v>
      </c>
      <c r="H71" s="22"/>
      <c r="I71" s="14">
        <f t="shared" si="21"/>
        <v>3.5852554</v>
      </c>
      <c r="J71" s="27">
        <f t="shared" si="22"/>
        <v>0.908340275244233</v>
      </c>
    </row>
    <row r="72" ht="22.2" customHeight="1" spans="1:10">
      <c r="A72" s="20">
        <v>11</v>
      </c>
      <c r="B72" s="21" t="s">
        <v>31</v>
      </c>
      <c r="C72" s="23"/>
      <c r="D72" s="14">
        <f>'概算汇总表（详细）'!F66</f>
        <v>202.2586</v>
      </c>
      <c r="E72" s="14"/>
      <c r="F72" s="22"/>
      <c r="G72" s="22">
        <f>G4*0.6%</f>
        <v>116.181426</v>
      </c>
      <c r="H72" s="22"/>
      <c r="I72" s="14">
        <f t="shared" si="21"/>
        <v>86.077174</v>
      </c>
      <c r="J72" s="27">
        <f t="shared" ref="J72" si="23">I72/G72</f>
        <v>0.74088584521247</v>
      </c>
    </row>
    <row r="73" ht="22.2" customHeight="1" spans="1:10">
      <c r="A73" s="20">
        <v>12</v>
      </c>
      <c r="B73" s="21" t="s">
        <v>32</v>
      </c>
      <c r="C73" s="23"/>
      <c r="D73" s="14">
        <f>'概算汇总表（详细）'!F67</f>
        <v>3.8860104</v>
      </c>
      <c r="E73" s="14"/>
      <c r="F73" s="22"/>
      <c r="G73" s="22">
        <v>0</v>
      </c>
      <c r="H73" s="22"/>
      <c r="I73" s="14">
        <f t="shared" si="21"/>
        <v>3.8860104</v>
      </c>
      <c r="J73" s="27"/>
    </row>
    <row r="74" ht="22.2" customHeight="1" spans="1:10">
      <c r="A74" s="20">
        <v>13</v>
      </c>
      <c r="B74" s="21" t="s">
        <v>33</v>
      </c>
      <c r="C74" s="23"/>
      <c r="D74" s="14">
        <f>'概算汇总表（详细）'!F68</f>
        <v>3.238342</v>
      </c>
      <c r="E74" s="14"/>
      <c r="F74" s="22"/>
      <c r="G74" s="22">
        <v>15</v>
      </c>
      <c r="H74" s="22"/>
      <c r="I74" s="14">
        <f t="shared" si="21"/>
        <v>-11.761658</v>
      </c>
      <c r="J74" s="27">
        <f>I74/G74</f>
        <v>-0.784110533333333</v>
      </c>
    </row>
    <row r="75" ht="22.2" customHeight="1" spans="1:10">
      <c r="A75" s="20">
        <v>14</v>
      </c>
      <c r="B75" s="21" t="s">
        <v>34</v>
      </c>
      <c r="C75" s="23"/>
      <c r="D75" s="14">
        <f>'概算汇总表（详细）'!F69</f>
        <v>47.5</v>
      </c>
      <c r="E75" s="14"/>
      <c r="F75" s="22"/>
      <c r="G75" s="22">
        <f>55</f>
        <v>55</v>
      </c>
      <c r="H75" s="22"/>
      <c r="I75" s="14">
        <f t="shared" si="21"/>
        <v>-7.5</v>
      </c>
      <c r="J75" s="27">
        <f t="shared" ref="J75:J79" si="24">I75/G75</f>
        <v>-0.136363636363636</v>
      </c>
    </row>
    <row r="76" ht="22.2" customHeight="1" spans="1:10">
      <c r="A76" s="20">
        <v>15</v>
      </c>
      <c r="B76" s="21" t="s">
        <v>35</v>
      </c>
      <c r="C76" s="23"/>
      <c r="D76" s="14">
        <f>'概算汇总表（详细）'!F70</f>
        <v>10</v>
      </c>
      <c r="E76" s="14"/>
      <c r="F76" s="22"/>
      <c r="G76" s="22"/>
      <c r="H76" s="22"/>
      <c r="I76" s="14">
        <f t="shared" si="21"/>
        <v>10</v>
      </c>
      <c r="J76" s="27"/>
    </row>
    <row r="77" ht="22.2" customHeight="1" spans="1:10">
      <c r="A77" s="20">
        <v>16</v>
      </c>
      <c r="B77" s="21" t="s">
        <v>36</v>
      </c>
      <c r="C77" s="23"/>
      <c r="D77" s="14">
        <f>'概算汇总表（详细）'!F71</f>
        <v>10</v>
      </c>
      <c r="E77" s="14"/>
      <c r="F77" s="22"/>
      <c r="G77" s="22">
        <v>10</v>
      </c>
      <c r="H77" s="22"/>
      <c r="I77" s="14">
        <f t="shared" si="21"/>
        <v>0</v>
      </c>
      <c r="J77" s="27">
        <f t="shared" si="24"/>
        <v>0</v>
      </c>
    </row>
    <row r="78" ht="22.2" customHeight="1" spans="1:10">
      <c r="A78" s="20">
        <v>17</v>
      </c>
      <c r="B78" s="21" t="s">
        <v>37</v>
      </c>
      <c r="C78" s="23"/>
      <c r="D78" s="14">
        <f>'概算汇总表（详细）'!F72</f>
        <v>20.22586</v>
      </c>
      <c r="E78" s="14"/>
      <c r="F78" s="22"/>
      <c r="G78" s="22">
        <f>G4*0.3%</f>
        <v>58.090713</v>
      </c>
      <c r="H78" s="22"/>
      <c r="I78" s="14">
        <f t="shared" si="21"/>
        <v>-37.864853</v>
      </c>
      <c r="J78" s="27">
        <f t="shared" si="24"/>
        <v>-0.651822830957506</v>
      </c>
    </row>
    <row r="79" ht="22.2" customHeight="1" spans="1:10">
      <c r="A79" s="20">
        <v>18</v>
      </c>
      <c r="B79" s="21" t="s">
        <v>38</v>
      </c>
      <c r="C79" s="23"/>
      <c r="D79" s="14">
        <f>'概算汇总表（详细）'!F73</f>
        <v>3</v>
      </c>
      <c r="E79" s="14"/>
      <c r="F79" s="22"/>
      <c r="G79" s="22">
        <v>3</v>
      </c>
      <c r="H79" s="22"/>
      <c r="I79" s="14">
        <f t="shared" si="21"/>
        <v>0</v>
      </c>
      <c r="J79" s="27">
        <f t="shared" si="24"/>
        <v>0</v>
      </c>
    </row>
    <row r="80" ht="22.2" customHeight="1" spans="1:10">
      <c r="A80" s="20">
        <v>19</v>
      </c>
      <c r="B80" s="21" t="s">
        <v>39</v>
      </c>
      <c r="C80" s="23"/>
      <c r="D80" s="14">
        <f>'概算汇总表（详细）'!F74</f>
        <v>2.43</v>
      </c>
      <c r="E80" s="14"/>
      <c r="F80" s="22"/>
      <c r="G80" s="22"/>
      <c r="H80" s="22"/>
      <c r="I80" s="14">
        <f t="shared" si="21"/>
        <v>2.43</v>
      </c>
      <c r="J80" s="27"/>
    </row>
    <row r="81" ht="22.2" customHeight="1" spans="1:10">
      <c r="A81" s="23"/>
      <c r="B81" s="21"/>
      <c r="C81" s="23"/>
      <c r="D81" s="23"/>
      <c r="E81" s="23"/>
      <c r="F81" s="22"/>
      <c r="G81" s="22"/>
      <c r="H81" s="22"/>
      <c r="I81" s="14"/>
      <c r="J81" s="27"/>
    </row>
    <row r="82" ht="22.2" customHeight="1" spans="1:10">
      <c r="A82" s="7" t="s">
        <v>40</v>
      </c>
      <c r="B82" s="8" t="s">
        <v>115</v>
      </c>
      <c r="C82" s="9">
        <f t="shared" ref="C82:H82" si="25">C83</f>
        <v>32383.42</v>
      </c>
      <c r="D82" s="9">
        <f t="shared" si="25"/>
        <v>439.21</v>
      </c>
      <c r="E82" s="9">
        <f t="shared" si="25"/>
        <v>135.628046697971</v>
      </c>
      <c r="F82" s="31">
        <f t="shared" si="25"/>
        <v>32892</v>
      </c>
      <c r="G82" s="31">
        <f t="shared" si="25"/>
        <v>1066.737326625</v>
      </c>
      <c r="H82" s="31">
        <f t="shared" si="25"/>
        <v>324.315130312842</v>
      </c>
      <c r="I82" s="9">
        <f>D82-G82</f>
        <v>-627.527326625</v>
      </c>
      <c r="J82" s="26">
        <f>I82/G82</f>
        <v>-0.588267899662238</v>
      </c>
    </row>
    <row r="83" ht="22.2" customHeight="1" spans="1:10">
      <c r="A83" s="20">
        <v>1</v>
      </c>
      <c r="B83" s="21" t="s">
        <v>116</v>
      </c>
      <c r="C83" s="14">
        <f>C4</f>
        <v>32383.42</v>
      </c>
      <c r="D83" s="14">
        <f>'概算汇总表（详细）'!F77</f>
        <v>439.21</v>
      </c>
      <c r="E83" s="14">
        <f>D83*10000/C83</f>
        <v>135.628046697971</v>
      </c>
      <c r="F83" s="22">
        <f>F58</f>
        <v>32892</v>
      </c>
      <c r="G83" s="22">
        <f>(G4+G58)*0.05</f>
        <v>1066.737326625</v>
      </c>
      <c r="H83" s="22">
        <f>G83*10000/F83</f>
        <v>324.315130312842</v>
      </c>
      <c r="I83" s="14">
        <f>D83-G83</f>
        <v>-627.527326625</v>
      </c>
      <c r="J83" s="27">
        <f>I83/G83</f>
        <v>-0.588267899662238</v>
      </c>
    </row>
    <row r="84" ht="22.2" customHeight="1" spans="1:10">
      <c r="A84" s="23"/>
      <c r="B84" s="23"/>
      <c r="C84" s="23"/>
      <c r="D84" s="23"/>
      <c r="E84" s="23"/>
      <c r="F84" s="22"/>
      <c r="G84" s="22"/>
      <c r="H84" s="22"/>
      <c r="I84" s="23"/>
      <c r="J84" s="33"/>
    </row>
    <row r="85" ht="22.2" customHeight="1" spans="1:10">
      <c r="A85" s="7" t="s">
        <v>42</v>
      </c>
      <c r="B85" s="8" t="s">
        <v>117</v>
      </c>
      <c r="C85" s="9">
        <f>C4</f>
        <v>32383.42</v>
      </c>
      <c r="D85" s="9">
        <f>'概算汇总表（详细）'!F79</f>
        <v>22399.61</v>
      </c>
      <c r="E85" s="9">
        <f>'概算汇总表（详细）'!I79</f>
        <v>6916.99950159681</v>
      </c>
      <c r="F85" s="22">
        <f>F82</f>
        <v>32892</v>
      </c>
      <c r="G85" s="22">
        <f>G4+G58+G82</f>
        <v>22401.483859125</v>
      </c>
      <c r="H85" s="22">
        <f>G85*10000/F85</f>
        <v>6810.61773656968</v>
      </c>
      <c r="I85" s="9">
        <f>I4+I58+I82</f>
        <v>-1.87445912499959</v>
      </c>
      <c r="J85" s="26">
        <f>I85/G85</f>
        <v>-8.36756679507214e-5</v>
      </c>
    </row>
    <row r="87" spans="4:4">
      <c r="D87" s="25"/>
    </row>
    <row r="88" spans="6:9">
      <c r="F88" s="25"/>
      <c r="I88" s="25"/>
    </row>
    <row r="89" spans="7:7">
      <c r="G89" s="32"/>
    </row>
  </sheetData>
  <mergeCells count="17">
    <mergeCell ref="A1:J1"/>
    <mergeCell ref="C2:E2"/>
    <mergeCell ref="F2:H2"/>
    <mergeCell ref="A2:A3"/>
    <mergeCell ref="B2:B3"/>
    <mergeCell ref="F8:F9"/>
    <mergeCell ref="F50:F52"/>
    <mergeCell ref="G8:G9"/>
    <mergeCell ref="G50:G52"/>
    <mergeCell ref="H8:H9"/>
    <mergeCell ref="H50:H52"/>
    <mergeCell ref="I2:I3"/>
    <mergeCell ref="I8:I9"/>
    <mergeCell ref="I50:I52"/>
    <mergeCell ref="J2:J3"/>
    <mergeCell ref="J8:J9"/>
    <mergeCell ref="J50:J52"/>
  </mergeCells>
  <pageMargins left="0.7" right="0.7" top="0.75" bottom="0.75" header="0.3" footer="0.3"/>
  <pageSetup paperSize="9" scale="4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44" sqref="D44"/>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概算汇总表 (总)</vt:lpstr>
      <vt:lpstr>概算汇总表（详细）</vt:lpstr>
      <vt:lpstr>分表1</vt:lpstr>
      <vt:lpstr>分表2</vt:lpstr>
      <vt:lpstr>分表3</vt:lpstr>
      <vt:lpstr>概算可研对比表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AESEU</dc:creator>
  <cp:lastModifiedBy>shalei</cp:lastModifiedBy>
  <dcterms:created xsi:type="dcterms:W3CDTF">2023-05-12T11:15:00Z</dcterms:created>
  <cp:lastPrinted>2024-07-30T13:07:00Z</cp:lastPrinted>
  <dcterms:modified xsi:type="dcterms:W3CDTF">2024-08-26T08:45:20Z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6D22769ED1914554915440061B010201_13</vt:lpwstr>
  </property>
  <property fmtid="{D5CDD505-2E9C-101B-9397-08002B2CF9AE}" pid="3" name="KSOProductBuildVer">
    <vt:lpwstr>2052-12.1.0.17857</vt:lpwstr>
  </property>
</Properties>
</file>